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filterPrivacy="1" autoCompressPictures="0"/>
  <xr:revisionPtr revIDLastSave="0" documentId="13_ncr:1_{4EAF6499-9F29-4C3D-BE65-E37BC7FD649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Jahreskalender" sheetId="1" r:id="rId1"/>
  </sheets>
  <definedNames>
    <definedName name="AprSun1">DATE(CalendarYear,4,1)-WEEKDAY(DATE(CalendarYear,4,1))+1</definedName>
    <definedName name="AugSun1">DATE(CalendarYear,8,1)-WEEKDAY(DATE(CalendarYear,8,1))+1</definedName>
    <definedName name="CalendarYear">Jahreskalender!$C$1</definedName>
    <definedName name="DecSun1">DATE(CalendarYear,12,1)-WEEKDAY(DATE(CalendarYear,12,1))+1</definedName>
    <definedName name="_xlnm.Print_Area" localSheetId="0">Jahreskalender!$A$1:$W$57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NovSun1">DATE(CalendarYear,11,1)-WEEKDAY(DATE(CalendarYear,11,1))+1</definedName>
    <definedName name="OctSun1">DATE(CalendarYear,10,1)-WEEKDAY(DATE(CalendarYear,10,1))+1</definedName>
    <definedName name="SepSun1">DATE(CalendarYear,9,1)-WEEKDAY(DATE(CalendarYear,9,1))+1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36" i="1" l="1"/>
  <c r="C33" i="1"/>
  <c r="D33" i="1"/>
  <c r="E33" i="1"/>
  <c r="F33" i="1"/>
  <c r="G33" i="1"/>
  <c r="H33" i="1"/>
  <c r="I33" i="1"/>
  <c r="K33" i="1"/>
  <c r="L33" i="1"/>
  <c r="M33" i="1"/>
  <c r="N33" i="1"/>
  <c r="O33" i="1"/>
  <c r="P33" i="1"/>
  <c r="Q33" i="1"/>
  <c r="H15" i="1"/>
  <c r="L27" i="1" l="1"/>
  <c r="Q54" i="1" l="1"/>
  <c r="P54" i="1"/>
  <c r="O54" i="1"/>
  <c r="N54" i="1"/>
  <c r="M54" i="1"/>
  <c r="L54" i="1"/>
  <c r="K54" i="1"/>
  <c r="I54" i="1"/>
  <c r="H54" i="1"/>
  <c r="G54" i="1"/>
  <c r="F54" i="1"/>
  <c r="E54" i="1"/>
  <c r="D54" i="1"/>
  <c r="C54" i="1"/>
  <c r="Q53" i="1"/>
  <c r="P53" i="1"/>
  <c r="O53" i="1"/>
  <c r="N53" i="1"/>
  <c r="M53" i="1"/>
  <c r="L53" i="1"/>
  <c r="K53" i="1"/>
  <c r="I53" i="1"/>
  <c r="H53" i="1"/>
  <c r="G53" i="1"/>
  <c r="F53" i="1"/>
  <c r="E53" i="1"/>
  <c r="D53" i="1"/>
  <c r="C53" i="1"/>
  <c r="Q52" i="1"/>
  <c r="P52" i="1"/>
  <c r="O52" i="1"/>
  <c r="N52" i="1"/>
  <c r="M52" i="1"/>
  <c r="L52" i="1"/>
  <c r="K52" i="1"/>
  <c r="I52" i="1"/>
  <c r="H52" i="1"/>
  <c r="G52" i="1"/>
  <c r="F52" i="1"/>
  <c r="E52" i="1"/>
  <c r="D52" i="1"/>
  <c r="C52" i="1"/>
  <c r="Q51" i="1"/>
  <c r="P51" i="1"/>
  <c r="O51" i="1"/>
  <c r="N51" i="1"/>
  <c r="M51" i="1"/>
  <c r="L51" i="1"/>
  <c r="K51" i="1"/>
  <c r="I51" i="1"/>
  <c r="H51" i="1"/>
  <c r="G51" i="1"/>
  <c r="F51" i="1"/>
  <c r="E51" i="1"/>
  <c r="D51" i="1"/>
  <c r="C51" i="1"/>
  <c r="Q50" i="1"/>
  <c r="P50" i="1"/>
  <c r="O50" i="1"/>
  <c r="N50" i="1"/>
  <c r="M50" i="1"/>
  <c r="L50" i="1"/>
  <c r="K50" i="1"/>
  <c r="I50" i="1"/>
  <c r="H50" i="1"/>
  <c r="G50" i="1"/>
  <c r="F50" i="1"/>
  <c r="E50" i="1"/>
  <c r="D50" i="1"/>
  <c r="C50" i="1"/>
  <c r="Q46" i="1"/>
  <c r="P46" i="1"/>
  <c r="O46" i="1"/>
  <c r="N46" i="1"/>
  <c r="M46" i="1"/>
  <c r="L46" i="1"/>
  <c r="K46" i="1"/>
  <c r="I46" i="1"/>
  <c r="H46" i="1"/>
  <c r="G46" i="1"/>
  <c r="F46" i="1"/>
  <c r="E46" i="1"/>
  <c r="D46" i="1"/>
  <c r="C46" i="1"/>
  <c r="Q45" i="1"/>
  <c r="P45" i="1"/>
  <c r="O45" i="1"/>
  <c r="N45" i="1"/>
  <c r="M45" i="1"/>
  <c r="L45" i="1"/>
  <c r="K45" i="1"/>
  <c r="I45" i="1"/>
  <c r="H45" i="1"/>
  <c r="G45" i="1"/>
  <c r="F45" i="1"/>
  <c r="E45" i="1"/>
  <c r="D45" i="1"/>
  <c r="C45" i="1"/>
  <c r="Q44" i="1"/>
  <c r="O44" i="1"/>
  <c r="N44" i="1"/>
  <c r="M44" i="1"/>
  <c r="L44" i="1"/>
  <c r="K44" i="1"/>
  <c r="I44" i="1"/>
  <c r="H44" i="1"/>
  <c r="G44" i="1"/>
  <c r="F44" i="1"/>
  <c r="E44" i="1"/>
  <c r="D44" i="1"/>
  <c r="C44" i="1"/>
  <c r="Q43" i="1"/>
  <c r="P43" i="1"/>
  <c r="O43" i="1"/>
  <c r="N43" i="1"/>
  <c r="M43" i="1"/>
  <c r="L43" i="1"/>
  <c r="K43" i="1"/>
  <c r="I43" i="1"/>
  <c r="H43" i="1"/>
  <c r="G43" i="1"/>
  <c r="F43" i="1"/>
  <c r="E43" i="1"/>
  <c r="D43" i="1"/>
  <c r="C43" i="1"/>
  <c r="Q42" i="1"/>
  <c r="P42" i="1"/>
  <c r="O42" i="1"/>
  <c r="N42" i="1"/>
  <c r="M42" i="1"/>
  <c r="L42" i="1"/>
  <c r="K42" i="1"/>
  <c r="I42" i="1"/>
  <c r="H42" i="1"/>
  <c r="G42" i="1"/>
  <c r="F42" i="1"/>
  <c r="E42" i="1"/>
  <c r="D42" i="1"/>
  <c r="C42" i="1"/>
  <c r="Q41" i="1"/>
  <c r="P41" i="1"/>
  <c r="O41" i="1"/>
  <c r="N41" i="1"/>
  <c r="M41" i="1"/>
  <c r="L41" i="1"/>
  <c r="K41" i="1"/>
  <c r="I41" i="1"/>
  <c r="H41" i="1"/>
  <c r="G41" i="1"/>
  <c r="F41" i="1"/>
  <c r="E41" i="1"/>
  <c r="D41" i="1"/>
  <c r="C41" i="1"/>
  <c r="Q37" i="1"/>
  <c r="P37" i="1"/>
  <c r="O37" i="1"/>
  <c r="N37" i="1"/>
  <c r="M37" i="1"/>
  <c r="L37" i="1"/>
  <c r="K37" i="1"/>
  <c r="I37" i="1"/>
  <c r="H37" i="1"/>
  <c r="G37" i="1"/>
  <c r="F37" i="1"/>
  <c r="E37" i="1"/>
  <c r="D37" i="1"/>
  <c r="C37" i="1"/>
  <c r="Q36" i="1"/>
  <c r="P36" i="1"/>
  <c r="O36" i="1"/>
  <c r="N36" i="1"/>
  <c r="L36" i="1"/>
  <c r="K36" i="1"/>
  <c r="I36" i="1"/>
  <c r="H36" i="1"/>
  <c r="G36" i="1"/>
  <c r="F36" i="1"/>
  <c r="E36" i="1"/>
  <c r="D36" i="1"/>
  <c r="C36" i="1"/>
  <c r="Q35" i="1"/>
  <c r="P35" i="1"/>
  <c r="O35" i="1"/>
  <c r="N35" i="1"/>
  <c r="M35" i="1"/>
  <c r="L35" i="1"/>
  <c r="K35" i="1"/>
  <c r="I35" i="1"/>
  <c r="H35" i="1"/>
  <c r="G35" i="1"/>
  <c r="F35" i="1"/>
  <c r="E35" i="1"/>
  <c r="D35" i="1"/>
  <c r="C35" i="1"/>
  <c r="Q34" i="1"/>
  <c r="P34" i="1"/>
  <c r="O34" i="1"/>
  <c r="N34" i="1"/>
  <c r="M34" i="1"/>
  <c r="L34" i="1"/>
  <c r="K34" i="1"/>
  <c r="I34" i="1"/>
  <c r="H34" i="1"/>
  <c r="G34" i="1"/>
  <c r="F34" i="1"/>
  <c r="E34" i="1"/>
  <c r="D34" i="1"/>
  <c r="C34" i="1"/>
  <c r="Q32" i="1"/>
  <c r="P32" i="1"/>
  <c r="O32" i="1"/>
  <c r="N32" i="1"/>
  <c r="M32" i="1"/>
  <c r="L32" i="1"/>
  <c r="K32" i="1"/>
  <c r="I32" i="1"/>
  <c r="H32" i="1"/>
  <c r="G32" i="1"/>
  <c r="F32" i="1"/>
  <c r="E32" i="1"/>
  <c r="D32" i="1"/>
  <c r="C32" i="1"/>
  <c r="Q28" i="1"/>
  <c r="P28" i="1"/>
  <c r="O28" i="1"/>
  <c r="N28" i="1"/>
  <c r="M28" i="1"/>
  <c r="L28" i="1"/>
  <c r="K28" i="1"/>
  <c r="I28" i="1"/>
  <c r="H28" i="1"/>
  <c r="G28" i="1"/>
  <c r="F28" i="1"/>
  <c r="E28" i="1"/>
  <c r="D28" i="1"/>
  <c r="C28" i="1"/>
  <c r="Q27" i="1"/>
  <c r="P27" i="1"/>
  <c r="O27" i="1"/>
  <c r="N27" i="1"/>
  <c r="M27" i="1"/>
  <c r="K27" i="1"/>
  <c r="I27" i="1"/>
  <c r="H27" i="1"/>
  <c r="G27" i="1"/>
  <c r="F27" i="1"/>
  <c r="E27" i="1"/>
  <c r="D27" i="1"/>
  <c r="C27" i="1"/>
  <c r="Q26" i="1"/>
  <c r="P26" i="1"/>
  <c r="O26" i="1"/>
  <c r="N26" i="1"/>
  <c r="M26" i="1"/>
  <c r="L26" i="1"/>
  <c r="K26" i="1"/>
  <c r="I26" i="1"/>
  <c r="H26" i="1"/>
  <c r="G26" i="1"/>
  <c r="F26" i="1"/>
  <c r="E26" i="1"/>
  <c r="D26" i="1"/>
  <c r="C26" i="1"/>
  <c r="Q25" i="1"/>
  <c r="P25" i="1"/>
  <c r="O25" i="1"/>
  <c r="N25" i="1"/>
  <c r="M25" i="1"/>
  <c r="L25" i="1"/>
  <c r="K25" i="1"/>
  <c r="I25" i="1"/>
  <c r="H25" i="1"/>
  <c r="G25" i="1"/>
  <c r="F25" i="1"/>
  <c r="E25" i="1"/>
  <c r="D25" i="1"/>
  <c r="C25" i="1"/>
  <c r="Q24" i="1"/>
  <c r="P24" i="1"/>
  <c r="O24" i="1"/>
  <c r="N24" i="1"/>
  <c r="M24" i="1"/>
  <c r="L24" i="1"/>
  <c r="K24" i="1"/>
  <c r="I24" i="1"/>
  <c r="H24" i="1"/>
  <c r="G24" i="1"/>
  <c r="F24" i="1"/>
  <c r="E24" i="1"/>
  <c r="D24" i="1"/>
  <c r="C24" i="1"/>
  <c r="Q23" i="1"/>
  <c r="P23" i="1"/>
  <c r="O23" i="1"/>
  <c r="N23" i="1"/>
  <c r="M23" i="1"/>
  <c r="L23" i="1"/>
  <c r="K23" i="1"/>
  <c r="I23" i="1"/>
  <c r="H23" i="1"/>
  <c r="G23" i="1"/>
  <c r="F23" i="1"/>
  <c r="E23" i="1"/>
  <c r="D23" i="1"/>
  <c r="C23" i="1"/>
  <c r="Q19" i="1"/>
  <c r="P19" i="1"/>
  <c r="O19" i="1"/>
  <c r="N19" i="1"/>
  <c r="M19" i="1"/>
  <c r="L19" i="1"/>
  <c r="K19" i="1"/>
  <c r="I19" i="1"/>
  <c r="H19" i="1"/>
  <c r="G19" i="1"/>
  <c r="F19" i="1"/>
  <c r="E19" i="1"/>
  <c r="D19" i="1"/>
  <c r="C19" i="1"/>
  <c r="Q18" i="1"/>
  <c r="P18" i="1"/>
  <c r="O18" i="1"/>
  <c r="N18" i="1"/>
  <c r="M18" i="1"/>
  <c r="L18" i="1"/>
  <c r="K18" i="1"/>
  <c r="I18" i="1"/>
  <c r="H18" i="1"/>
  <c r="G18" i="1"/>
  <c r="F18" i="1"/>
  <c r="E18" i="1"/>
  <c r="D18" i="1"/>
  <c r="C18" i="1"/>
  <c r="Q17" i="1"/>
  <c r="P17" i="1"/>
  <c r="O17" i="1"/>
  <c r="N17" i="1"/>
  <c r="M17" i="1"/>
  <c r="L17" i="1"/>
  <c r="K17" i="1"/>
  <c r="I17" i="1"/>
  <c r="H17" i="1"/>
  <c r="G17" i="1"/>
  <c r="F17" i="1"/>
  <c r="E17" i="1"/>
  <c r="D17" i="1"/>
  <c r="C17" i="1"/>
  <c r="Q16" i="1"/>
  <c r="P16" i="1"/>
  <c r="O16" i="1"/>
  <c r="N16" i="1"/>
  <c r="M16" i="1"/>
  <c r="L16" i="1"/>
  <c r="K16" i="1"/>
  <c r="I16" i="1"/>
  <c r="H16" i="1"/>
  <c r="G16" i="1"/>
  <c r="F16" i="1"/>
  <c r="E16" i="1"/>
  <c r="D16" i="1"/>
  <c r="C16" i="1"/>
  <c r="Q15" i="1"/>
  <c r="P15" i="1"/>
  <c r="O15" i="1"/>
  <c r="N15" i="1"/>
  <c r="M15" i="1"/>
  <c r="L15" i="1"/>
  <c r="K15" i="1"/>
  <c r="I15" i="1"/>
  <c r="G15" i="1"/>
  <c r="F15" i="1"/>
  <c r="E15" i="1"/>
  <c r="D15" i="1"/>
  <c r="C15" i="1"/>
  <c r="Q14" i="1"/>
  <c r="P14" i="1"/>
  <c r="O14" i="1"/>
  <c r="N14" i="1"/>
  <c r="M14" i="1"/>
  <c r="L14" i="1"/>
  <c r="K14" i="1"/>
  <c r="I14" i="1"/>
  <c r="H14" i="1"/>
  <c r="G14" i="1"/>
  <c r="F14" i="1"/>
  <c r="E14" i="1"/>
  <c r="D14" i="1"/>
  <c r="C14" i="1"/>
  <c r="Q10" i="1"/>
  <c r="P10" i="1"/>
  <c r="O10" i="1"/>
  <c r="N10" i="1"/>
  <c r="M10" i="1"/>
  <c r="L10" i="1"/>
  <c r="K10" i="1"/>
  <c r="I10" i="1"/>
  <c r="H10" i="1"/>
  <c r="G10" i="1"/>
  <c r="F10" i="1"/>
  <c r="E10" i="1"/>
  <c r="D10" i="1"/>
  <c r="C10" i="1"/>
  <c r="Q9" i="1"/>
  <c r="P9" i="1"/>
  <c r="O9" i="1"/>
  <c r="N9" i="1"/>
  <c r="M9" i="1"/>
  <c r="L9" i="1"/>
  <c r="K9" i="1"/>
  <c r="I9" i="1"/>
  <c r="H9" i="1"/>
  <c r="G9" i="1"/>
  <c r="F9" i="1"/>
  <c r="E9" i="1"/>
  <c r="D9" i="1"/>
  <c r="C9" i="1"/>
  <c r="Q8" i="1"/>
  <c r="P8" i="1"/>
  <c r="O8" i="1"/>
  <c r="N8" i="1"/>
  <c r="M8" i="1"/>
  <c r="L8" i="1"/>
  <c r="K8" i="1"/>
  <c r="I8" i="1"/>
  <c r="H8" i="1"/>
  <c r="G8" i="1"/>
  <c r="F8" i="1"/>
  <c r="E8" i="1"/>
  <c r="D8" i="1"/>
  <c r="C8" i="1"/>
  <c r="Q7" i="1"/>
  <c r="P7" i="1"/>
  <c r="O7" i="1"/>
  <c r="N7" i="1"/>
  <c r="M7" i="1"/>
  <c r="L7" i="1"/>
  <c r="K7" i="1"/>
  <c r="I7" i="1"/>
  <c r="H7" i="1"/>
  <c r="G7" i="1"/>
  <c r="F7" i="1"/>
  <c r="E7" i="1"/>
  <c r="D7" i="1"/>
  <c r="C7" i="1"/>
  <c r="Q6" i="1"/>
  <c r="P6" i="1"/>
  <c r="O6" i="1"/>
  <c r="N6" i="1"/>
  <c r="M6" i="1"/>
  <c r="L6" i="1"/>
  <c r="K6" i="1"/>
  <c r="I6" i="1"/>
  <c r="H6" i="1"/>
  <c r="G6" i="1"/>
  <c r="F6" i="1"/>
  <c r="E6" i="1"/>
  <c r="D6" i="1"/>
  <c r="C6" i="1"/>
  <c r="Q5" i="1"/>
  <c r="P5" i="1"/>
  <c r="O5" i="1"/>
  <c r="N5" i="1"/>
  <c r="M5" i="1"/>
  <c r="L5" i="1"/>
  <c r="K5" i="1"/>
  <c r="I5" i="1"/>
  <c r="H5" i="1"/>
  <c r="G5" i="1"/>
  <c r="F5" i="1"/>
  <c r="E5" i="1"/>
  <c r="D5" i="1"/>
  <c r="C5" i="1"/>
</calcChain>
</file>

<file path=xl/sharedStrings.xml><?xml version="1.0" encoding="utf-8"?>
<sst xmlns="http://schemas.openxmlformats.org/spreadsheetml/2006/main" count="133" uniqueCount="40">
  <si>
    <t>S</t>
  </si>
  <si>
    <t>M</t>
  </si>
  <si>
    <t>F</t>
  </si>
  <si>
    <t>APRIL</t>
  </si>
  <si>
    <t>AUGUST</t>
  </si>
  <si>
    <t>SEPTEMBER</t>
  </si>
  <si>
    <t>NOVEMBER</t>
  </si>
  <si>
    <t>JANUAR</t>
  </si>
  <si>
    <t>FEBRUAR</t>
  </si>
  <si>
    <t/>
  </si>
  <si>
    <t>D</t>
  </si>
  <si>
    <t>MÄRZ</t>
  </si>
  <si>
    <t>MAI</t>
  </si>
  <si>
    <t>JUNI</t>
  </si>
  <si>
    <t>JULI</t>
  </si>
  <si>
    <t>OKTOBER</t>
  </si>
  <si>
    <t>DEZEMBER</t>
  </si>
  <si>
    <t>Fischerhütte Mülenen FVSU</t>
  </si>
  <si>
    <t>Anlässe FVSU</t>
  </si>
  <si>
    <t>Frei</t>
  </si>
  <si>
    <t>Vermietet</t>
  </si>
  <si>
    <t>16. März Verpflegung &amp; Wettbewerb</t>
  </si>
  <si>
    <t>zum Auftakt der Bachforellensaison</t>
  </si>
  <si>
    <t>Eigengebrauch FVSU</t>
  </si>
  <si>
    <t>fischerhuette@fischereiverein.ch</t>
  </si>
  <si>
    <t>079 414 67 02</t>
  </si>
  <si>
    <t>www.fischereiverein.ch</t>
  </si>
  <si>
    <t>Fische streifen (Laichfischfang)</t>
  </si>
  <si>
    <t>Eigengebrauch (Vorstandsitzungen etc)</t>
  </si>
  <si>
    <t xml:space="preserve">Anmeldung bis </t>
  </si>
  <si>
    <t>Anmeldung bis 12. August</t>
  </si>
  <si>
    <r>
      <rPr>
        <b/>
        <sz val="11"/>
        <color theme="1" tint="0.14999847407452621"/>
        <rFont val="Arial"/>
        <family val="2"/>
      </rPr>
      <t>Kurse</t>
    </r>
    <r>
      <rPr>
        <sz val="11"/>
        <color theme="1" tint="0.14999847407452621"/>
        <rFont val="Arial"/>
        <family val="2"/>
      </rPr>
      <t xml:space="preserve"> (Jungfischer) bis 15h</t>
    </r>
  </si>
  <si>
    <t>Christian Wülser: Verpflegung Jungfischerkurs</t>
  </si>
  <si>
    <t>26.3. Anlage Mülenen Abfischen/Znüni</t>
  </si>
  <si>
    <t>20. August ab 11 Uhr: Hüttenfest</t>
  </si>
  <si>
    <t xml:space="preserve">14. Oktober ab 8.30 Uhr: Arbeitstag  </t>
  </si>
  <si>
    <t>14. Oktober ab 17 Uhr: Helferessen</t>
  </si>
  <si>
    <t xml:space="preserve">30.09.22 Anlage Mülenen &amp; </t>
  </si>
  <si>
    <t>Schwarzbächli Reichenbach 7.10. Res.</t>
  </si>
  <si>
    <t>11. November ab 17 Uhr: Waldfondue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</si>
</sst>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35" x14ac:knownFonts="1"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ajor"/>
    </font>
    <font>
      <b/>
      <sz val="26"/>
      <color theme="0"/>
      <name val="Calibri"/>
      <family val="2"/>
      <scheme val="major"/>
    </font>
    <font>
      <sz val="8"/>
      <color theme="0"/>
      <name val="Calibri"/>
      <family val="2"/>
      <scheme val="minor"/>
    </font>
    <font>
      <b/>
      <sz val="13.5"/>
      <color theme="0"/>
      <name val="Calibri"/>
      <family val="2"/>
      <scheme val="major"/>
    </font>
    <font>
      <sz val="9"/>
      <color theme="1"/>
      <name val="Calibri"/>
      <family val="2"/>
      <scheme val="minor"/>
    </font>
    <font>
      <sz val="8"/>
      <color theme="8"/>
      <name val="Calibri"/>
      <family val="2"/>
      <scheme val="minor"/>
    </font>
    <font>
      <sz val="9"/>
      <color theme="1" tint="0.14999847407452621"/>
      <name val="Calibri"/>
      <family val="2"/>
      <scheme val="minor"/>
    </font>
    <font>
      <sz val="12"/>
      <color theme="8"/>
      <name val="Calibri"/>
      <family val="2"/>
      <scheme val="minor"/>
    </font>
    <font>
      <sz val="12"/>
      <color theme="1" tint="0.1499984740745262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12"/>
      <color rgb="FF3333FF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2"/>
      <color rgb="FF3333FF"/>
      <name val="Calibri"/>
      <family val="2"/>
      <scheme val="minor"/>
    </font>
    <font>
      <b/>
      <sz val="10"/>
      <color rgb="FF3333FF"/>
      <name val="Calibri"/>
      <family val="2"/>
      <scheme val="minor"/>
    </font>
    <font>
      <sz val="8"/>
      <color rgb="FF3333FF"/>
      <name val="Calibri"/>
      <family val="2"/>
      <scheme val="minor"/>
    </font>
    <font>
      <b/>
      <sz val="11"/>
      <color rgb="FF3333FF"/>
      <name val="Calibri"/>
      <family val="2"/>
      <scheme val="major"/>
    </font>
    <font>
      <b/>
      <sz val="12"/>
      <color rgb="FF3333FF"/>
      <name val="Calibri"/>
      <family val="2"/>
      <scheme val="major"/>
    </font>
    <font>
      <b/>
      <sz val="10"/>
      <color theme="1"/>
      <name val="Calibri"/>
      <family val="2"/>
      <scheme val="minor"/>
    </font>
    <font>
      <b/>
      <i/>
      <sz val="9"/>
      <name val="Arial"/>
      <family val="2"/>
    </font>
    <font>
      <sz val="12"/>
      <color rgb="FF3333FF"/>
      <name val="Calibri"/>
      <family val="2"/>
      <scheme val="minor"/>
    </font>
    <font>
      <b/>
      <sz val="11"/>
      <color rgb="FF3333FF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 tint="0.14999847407452621"/>
      <name val="Arial"/>
      <family val="2"/>
    </font>
    <font>
      <b/>
      <sz val="11"/>
      <color theme="1" tint="0.14999847407452621"/>
      <name val="Arial"/>
      <family val="2"/>
    </font>
    <font>
      <sz val="10"/>
      <color theme="1" tint="0.14999847407452621"/>
      <name val="Arial"/>
      <family val="2"/>
    </font>
    <font>
      <sz val="11"/>
      <color theme="1" tint="0.14999847407452621"/>
      <name val="Calibri"/>
      <family val="2"/>
      <scheme val="minor"/>
    </font>
    <font>
      <sz val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56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0" xfId="0" applyFont="1"/>
    <xf numFmtId="0" fontId="0" fillId="2" borderId="0" xfId="0" applyFill="1"/>
    <xf numFmtId="0" fontId="4" fillId="2" borderId="0" xfId="0" applyFont="1" applyFill="1"/>
    <xf numFmtId="164" fontId="0" fillId="2" borderId="0" xfId="0" applyNumberFormat="1" applyFill="1"/>
    <xf numFmtId="0" fontId="5" fillId="2" borderId="0" xfId="0" applyFont="1" applyFill="1" applyAlignment="1">
      <alignment vertical="center"/>
    </xf>
    <xf numFmtId="49" fontId="0" fillId="0" borderId="0" xfId="0" applyNumberFormat="1"/>
    <xf numFmtId="49" fontId="0" fillId="0" borderId="0" xfId="0" applyNumberFormat="1" applyAlignment="1">
      <alignment horizontal="left"/>
    </xf>
    <xf numFmtId="49" fontId="7" fillId="0" borderId="0" xfId="0" applyNumberFormat="1" applyFont="1" applyAlignment="1">
      <alignment horizontal="left"/>
    </xf>
    <xf numFmtId="0" fontId="3" fillId="2" borderId="0" xfId="0" applyFont="1" applyFill="1" applyAlignment="1">
      <alignment vertical="center"/>
    </xf>
    <xf numFmtId="0" fontId="6" fillId="0" borderId="0" xfId="0" applyFont="1"/>
    <xf numFmtId="49" fontId="8" fillId="0" borderId="0" xfId="0" applyNumberFormat="1" applyFont="1" applyAlignment="1">
      <alignment horizontal="left"/>
    </xf>
    <xf numFmtId="164" fontId="0" fillId="3" borderId="0" xfId="0" applyNumberFormat="1" applyFill="1" applyAlignment="1">
      <alignment horizontal="center"/>
    </xf>
    <xf numFmtId="49" fontId="10" fillId="0" borderId="0" xfId="0" applyNumberFormat="1" applyFont="1" applyAlignment="1">
      <alignment horizontal="left"/>
    </xf>
    <xf numFmtId="49" fontId="9" fillId="0" borderId="0" xfId="0" applyNumberFormat="1" applyFont="1" applyAlignment="1">
      <alignment horizontal="left" wrapText="1"/>
    </xf>
    <xf numFmtId="49" fontId="13" fillId="4" borderId="0" xfId="0" applyNumberFormat="1" applyFont="1" applyFill="1" applyAlignment="1">
      <alignment horizontal="left" wrapText="1"/>
    </xf>
    <xf numFmtId="49" fontId="14" fillId="4" borderId="0" xfId="0" applyNumberFormat="1" applyFont="1" applyFill="1" applyAlignment="1">
      <alignment horizontal="left"/>
    </xf>
    <xf numFmtId="49" fontId="15" fillId="4" borderId="0" xfId="0" applyNumberFormat="1" applyFont="1" applyFill="1" applyAlignment="1">
      <alignment horizontal="left"/>
    </xf>
    <xf numFmtId="49" fontId="16" fillId="6" borderId="0" xfId="0" applyNumberFormat="1" applyFont="1" applyFill="1" applyAlignment="1">
      <alignment horizontal="left"/>
    </xf>
    <xf numFmtId="49" fontId="16" fillId="4" borderId="0" xfId="0" applyNumberFormat="1" applyFont="1" applyFill="1" applyAlignment="1">
      <alignment horizontal="left"/>
    </xf>
    <xf numFmtId="49" fontId="17" fillId="3" borderId="0" xfId="0" applyNumberFormat="1" applyFont="1" applyFill="1" applyAlignment="1">
      <alignment horizontal="left"/>
    </xf>
    <xf numFmtId="49" fontId="18" fillId="5" borderId="0" xfId="0" applyNumberFormat="1" applyFont="1" applyFill="1" applyAlignment="1">
      <alignment horizontal="left"/>
    </xf>
    <xf numFmtId="0" fontId="19" fillId="0" borderId="0" xfId="1" applyFont="1"/>
    <xf numFmtId="49" fontId="14" fillId="0" borderId="0" xfId="0" applyNumberFormat="1" applyFont="1" applyAlignment="1">
      <alignment horizontal="left"/>
    </xf>
    <xf numFmtId="0" fontId="20" fillId="0" borderId="0" xfId="0" applyFont="1" applyAlignment="1">
      <alignment horizontal="center"/>
    </xf>
    <xf numFmtId="0" fontId="21" fillId="0" borderId="0" xfId="0" applyFont="1"/>
    <xf numFmtId="164" fontId="11" fillId="3" borderId="0" xfId="0" applyNumberFormat="1" applyFont="1" applyFill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0" xfId="0" applyFont="1" applyAlignment="1">
      <alignment horizontal="left"/>
    </xf>
    <xf numFmtId="164" fontId="11" fillId="0" borderId="0" xfId="0" applyNumberFormat="1" applyFont="1" applyAlignment="1">
      <alignment horizontal="center"/>
    </xf>
    <xf numFmtId="164" fontId="11" fillId="6" borderId="0" xfId="0" applyNumberFormat="1" applyFont="1" applyFill="1" applyAlignment="1">
      <alignment horizontal="center"/>
    </xf>
    <xf numFmtId="164" fontId="11" fillId="4" borderId="0" xfId="0" applyNumberFormat="1" applyFont="1" applyFill="1" applyAlignment="1">
      <alignment horizontal="center"/>
    </xf>
    <xf numFmtId="164" fontId="11" fillId="5" borderId="0" xfId="0" applyNumberFormat="1" applyFont="1" applyFill="1" applyAlignment="1">
      <alignment horizontal="center"/>
    </xf>
    <xf numFmtId="49" fontId="13" fillId="6" borderId="0" xfId="0" applyNumberFormat="1" applyFont="1" applyFill="1" applyAlignment="1">
      <alignment wrapText="1"/>
    </xf>
    <xf numFmtId="49" fontId="13" fillId="6" borderId="0" xfId="0" applyNumberFormat="1" applyFont="1" applyFill="1"/>
    <xf numFmtId="49" fontId="13" fillId="4" borderId="0" xfId="0" applyNumberFormat="1" applyFont="1" applyFill="1" applyAlignment="1">
      <alignment wrapText="1"/>
    </xf>
    <xf numFmtId="49" fontId="13" fillId="0" borderId="0" xfId="0" applyNumberFormat="1" applyFont="1" applyAlignment="1">
      <alignment horizontal="left" wrapText="1"/>
    </xf>
    <xf numFmtId="49" fontId="25" fillId="4" borderId="0" xfId="0" applyNumberFormat="1" applyFont="1" applyFill="1" applyAlignment="1">
      <alignment horizontal="left"/>
    </xf>
    <xf numFmtId="49" fontId="28" fillId="7" borderId="0" xfId="0" applyNumberFormat="1" applyFont="1" applyFill="1" applyAlignment="1">
      <alignment horizontal="left" wrapText="1"/>
    </xf>
    <xf numFmtId="0" fontId="29" fillId="7" borderId="0" xfId="0" applyFont="1" applyFill="1" applyAlignment="1">
      <alignment vertical="center"/>
    </xf>
    <xf numFmtId="49" fontId="13" fillId="7" borderId="0" xfId="0" applyNumberFormat="1" applyFont="1" applyFill="1" applyAlignment="1">
      <alignment horizontal="left" wrapText="1"/>
    </xf>
    <xf numFmtId="49" fontId="30" fillId="8" borderId="0" xfId="0" applyNumberFormat="1" applyFont="1" applyFill="1" applyAlignment="1">
      <alignment horizontal="left"/>
    </xf>
    <xf numFmtId="49" fontId="13" fillId="6" borderId="0" xfId="0" applyNumberFormat="1" applyFont="1" applyFill="1" applyAlignment="1">
      <alignment horizontal="left" wrapText="1"/>
    </xf>
    <xf numFmtId="49" fontId="32" fillId="0" borderId="0" xfId="0" applyNumberFormat="1" applyFont="1" applyAlignment="1">
      <alignment horizontal="left"/>
    </xf>
    <xf numFmtId="164" fontId="24" fillId="3" borderId="0" xfId="0" applyNumberFormat="1" applyFont="1" applyFill="1" applyAlignment="1">
      <alignment horizontal="center"/>
    </xf>
    <xf numFmtId="164" fontId="34" fillId="3" borderId="0" xfId="0" applyNumberFormat="1" applyFont="1" applyFill="1" applyAlignment="1">
      <alignment horizontal="center"/>
    </xf>
    <xf numFmtId="49" fontId="33" fillId="0" borderId="0" xfId="0" applyNumberFormat="1" applyFont="1" applyAlignment="1">
      <alignment horizontal="left" vertical="center"/>
    </xf>
    <xf numFmtId="49" fontId="27" fillId="0" borderId="0" xfId="0" applyNumberFormat="1" applyFont="1" applyAlignment="1">
      <alignment horizontal="left"/>
    </xf>
    <xf numFmtId="49" fontId="13" fillId="0" borderId="0" xfId="0" applyNumberFormat="1" applyFont="1" applyAlignment="1">
      <alignment horizontal="left"/>
    </xf>
    <xf numFmtId="0" fontId="3" fillId="2" borderId="0" xfId="0" applyFont="1" applyFill="1" applyAlignment="1">
      <alignment horizontal="left" vertical="center"/>
    </xf>
    <xf numFmtId="49" fontId="26" fillId="6" borderId="0" xfId="0" applyNumberFormat="1" applyFont="1" applyFill="1" applyAlignment="1">
      <alignment horizontal="left" vertical="center" wrapText="1"/>
    </xf>
    <xf numFmtId="164" fontId="11" fillId="0" borderId="0" xfId="0" applyNumberFormat="1" applyFont="1" applyFill="1" applyAlignment="1">
      <alignment horizontal="center"/>
    </xf>
  </cellXfs>
  <cellStyles count="2">
    <cellStyle name="Link" xfId="1" builtinId="8"/>
    <cellStyle name="Standard" xfId="0" builtinId="0" customBuiltin="1"/>
  </cellStyles>
  <dxfs count="0"/>
  <tableStyles count="0" defaultTableStyle="TableStyleMedium2" defaultPivotStyle="PivotStyleLight16"/>
  <colors>
    <mruColors>
      <color rgb="FF99CCFF"/>
      <color rgb="FF3333FF"/>
      <color rgb="FF6699FF"/>
      <color rgb="FFCC99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C$1" max="2999" min="1900" page="10" val="2023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png"/><Relationship Id="rId1" Type="http://schemas.openxmlformats.org/officeDocument/2006/relationships/image" Target="../media/image3.JPG"/><Relationship Id="rId4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142875</xdr:colOff>
      <xdr:row>3</xdr:row>
      <xdr:rowOff>48772</xdr:rowOff>
    </xdr:from>
    <xdr:to>
      <xdr:col>22</xdr:col>
      <xdr:colOff>761475</xdr:colOff>
      <xdr:row>14</xdr:row>
      <xdr:rowOff>2200</xdr:rowOff>
    </xdr:to>
    <xdr:pic>
      <xdr:nvPicPr>
        <xdr:cNvPr id="2" name="Leave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7886700" y="810772"/>
          <a:ext cx="1152000" cy="204892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38100</xdr:rowOff>
        </xdr:from>
        <xdr:to>
          <xdr:col>1</xdr:col>
          <xdr:colOff>266700</xdr:colOff>
          <xdr:row>0</xdr:row>
          <xdr:rowOff>342900</xdr:rowOff>
        </xdr:to>
        <xdr:sp macro="" textlink="">
          <xdr:nvSpPr>
            <xdr:cNvPr id="1033" name="Spinner" descr="Use the spinner button to change calendar year or enter year in cell B1.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xdr:twoCellAnchor>
    <xdr:from>
      <xdr:col>1</xdr:col>
      <xdr:colOff>38099</xdr:colOff>
      <xdr:row>1</xdr:row>
      <xdr:rowOff>9526</xdr:rowOff>
    </xdr:from>
    <xdr:to>
      <xdr:col>15</xdr:col>
      <xdr:colOff>133350</xdr:colOff>
      <xdr:row>2</xdr:row>
      <xdr:rowOff>66675</xdr:rowOff>
    </xdr:to>
    <xdr:sp macro="" textlink="">
      <xdr:nvSpPr>
        <xdr:cNvPr id="6" name="Instructions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0974" y="390526"/>
          <a:ext cx="410527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tIns="0" bIns="0" rtlCol="0" anchor="t"/>
        <a:lstStyle/>
        <a:p>
          <a:pPr algn="l"/>
          <a:r>
            <a:rPr lang="en-US" sz="1000" b="0" i="1">
              <a:solidFill>
                <a:schemeClr val="accent5"/>
              </a:solidFill>
            </a:rPr>
            <a:t>Klicken Sie auf das Drehfeld, um das Kalenderjahr zu ändern</a:t>
          </a:r>
        </a:p>
      </xdr:txBody>
    </xdr:sp>
    <xdr:clientData fPrintsWithSheet="0"/>
  </xdr:twoCellAnchor>
  <xdr:twoCellAnchor editAs="oneCell">
    <xdr:from>
      <xdr:col>20</xdr:col>
      <xdr:colOff>47625</xdr:colOff>
      <xdr:row>50</xdr:row>
      <xdr:rowOff>28980</xdr:rowOff>
    </xdr:from>
    <xdr:to>
      <xdr:col>20</xdr:col>
      <xdr:colOff>839625</xdr:colOff>
      <xdr:row>56</xdr:row>
      <xdr:rowOff>47625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57800" y="9744480"/>
          <a:ext cx="792000" cy="1161645"/>
        </a:xfrm>
        <a:prstGeom prst="rect">
          <a:avLst/>
        </a:prstGeom>
      </xdr:spPr>
    </xdr:pic>
    <xdr:clientData/>
  </xdr:twoCellAnchor>
  <xdr:twoCellAnchor>
    <xdr:from>
      <xdr:col>21</xdr:col>
      <xdr:colOff>143399</xdr:colOff>
      <xdr:row>17</xdr:row>
      <xdr:rowOff>1</xdr:rowOff>
    </xdr:from>
    <xdr:to>
      <xdr:col>22</xdr:col>
      <xdr:colOff>761999</xdr:colOff>
      <xdr:row>31</xdr:row>
      <xdr:rowOff>94638</xdr:rowOff>
    </xdr:to>
    <xdr:pic>
      <xdr:nvPicPr>
        <xdr:cNvPr id="7" name="Leaves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145" t="27396" r="7332" b="8223"/>
        <a:stretch/>
      </xdr:blipFill>
      <xdr:spPr>
        <a:xfrm rot="5400000">
          <a:off x="7082405" y="4233820"/>
          <a:ext cx="2761637" cy="1152000"/>
        </a:xfrm>
        <a:prstGeom prst="rect">
          <a:avLst/>
        </a:prstGeom>
      </xdr:spPr>
    </xdr:pic>
    <xdr:clientData/>
  </xdr:twoCellAnchor>
  <xdr:twoCellAnchor>
    <xdr:from>
      <xdr:col>21</xdr:col>
      <xdr:colOff>143857</xdr:colOff>
      <xdr:row>34</xdr:row>
      <xdr:rowOff>70279</xdr:rowOff>
    </xdr:from>
    <xdr:to>
      <xdr:col>22</xdr:col>
      <xdr:colOff>762457</xdr:colOff>
      <xdr:row>45</xdr:row>
      <xdr:rowOff>23709</xdr:rowOff>
    </xdr:to>
    <xdr:pic>
      <xdr:nvPicPr>
        <xdr:cNvPr id="8" name="Leaves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 rot="5400000">
          <a:off x="7439217" y="7186244"/>
          <a:ext cx="2048930" cy="1152000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Civic">
  <a:themeElements>
    <a:clrScheme name="Small Business Calendar 2">
      <a:dk1>
        <a:sysClr val="windowText" lastClr="000000"/>
      </a:dk1>
      <a:lt1>
        <a:sysClr val="window" lastClr="FFFFFF"/>
      </a:lt1>
      <a:dk2>
        <a:srgbClr val="646B86"/>
      </a:dk2>
      <a:lt2>
        <a:srgbClr val="C5D1D7"/>
      </a:lt2>
      <a:accent1>
        <a:srgbClr val="D16349"/>
      </a:accent1>
      <a:accent2>
        <a:srgbClr val="CCB400"/>
      </a:accent2>
      <a:accent3>
        <a:srgbClr val="8CADAE"/>
      </a:accent3>
      <a:accent4>
        <a:srgbClr val="8C7B70"/>
      </a:accent4>
      <a:accent5>
        <a:srgbClr val="8FB08C"/>
      </a:accent5>
      <a:accent6>
        <a:srgbClr val="D19049"/>
      </a:accent6>
      <a:hlink>
        <a:srgbClr val="8FB08C"/>
      </a:hlink>
      <a:folHlink>
        <a:srgbClr val="694F07"/>
      </a:folHlink>
    </a:clrScheme>
    <a:fontScheme name="Custom 2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Civic">
      <a:fillStyleLst>
        <a:solidFill>
          <a:schemeClr val="phClr"/>
        </a:solidFill>
        <a:solidFill>
          <a:schemeClr val="phClr">
            <a:tint val="45000"/>
          </a:schemeClr>
        </a:solidFill>
        <a:solidFill>
          <a:schemeClr val="phClr">
            <a:tint val="95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1429" cap="flat" cmpd="sng" algn="ctr">
          <a:solidFill>
            <a:schemeClr val="phClr"/>
          </a:solidFill>
          <a:prstDash val="sysDash"/>
        </a:ln>
        <a:ln w="200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dist="254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50800" dist="25400" dir="5400000" rotWithShape="0">
              <a:srgbClr val="000000">
                <a:alpha val="4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contourW="9525" prstMaterial="matte">
            <a:bevelT w="0" h="0"/>
            <a:contourClr>
              <a:schemeClr val="phClr">
                <a:shade val="70000"/>
                <a:satMod val="105000"/>
              </a:schemeClr>
            </a:contourClr>
          </a:sp3d>
        </a:effectStyle>
        <a:effectStyle>
          <a:effectLst>
            <a:outerShdw blurRad="50800" dist="25400" dir="5400000" rotWithShape="0">
              <a:srgbClr val="000000">
                <a:alpha val="45000"/>
              </a:srgbClr>
            </a:outerShdw>
          </a:effectLst>
          <a:scene3d>
            <a:camera prst="orthographicFront" fov="0">
              <a:rot lat="0" lon="0" rev="0"/>
            </a:camera>
            <a:lightRig rig="soft" dir="b">
              <a:rot lat="0" lon="0" rev="0"/>
            </a:lightRig>
          </a:scene3d>
          <a:sp3d prstMaterial="dkEdge">
            <a:bevelT w="63500" h="63500" prst="cross"/>
            <a:contourClr>
              <a:schemeClr val="phClr"/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70000"/>
                <a:satMod val="115000"/>
              </a:schemeClr>
              <a:schemeClr val="phClr">
                <a:tint val="85000"/>
              </a:schemeClr>
            </a:duotone>
          </a:blip>
          <a:tile tx="0" ty="0" sx="85000" sy="85000" flip="none" algn="tl"/>
        </a:blipFill>
        <a:blipFill>
          <a:blip xmlns:r="http://schemas.openxmlformats.org/officeDocument/2006/relationships" r:embed="rId2">
            <a:duotone>
              <a:schemeClr val="phClr">
                <a:shade val="65000"/>
                <a:satMod val="115000"/>
              </a:schemeClr>
              <a:schemeClr val="phClr">
                <a:tint val="85000"/>
              </a:schemeClr>
            </a:duotone>
          </a:blip>
          <a:tile tx="0" ty="0" sx="65000" sy="65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fischereiverein.ch/" TargetMode="External"/><Relationship Id="rId1" Type="http://schemas.openxmlformats.org/officeDocument/2006/relationships/hyperlink" Target="mailto:fischerhuette@fischereiverein.ch" TargetMode="External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/>
    <pageSetUpPr fitToPage="1"/>
  </sheetPr>
  <dimension ref="B1:AO69"/>
  <sheetViews>
    <sheetView showGridLines="0" tabSelected="1" zoomScaleNormal="100" workbookViewId="0">
      <selection activeCell="U47" sqref="U47"/>
    </sheetView>
  </sheetViews>
  <sheetFormatPr baseColWidth="10" defaultColWidth="9.5" defaultRowHeight="11.25" x14ac:dyDescent="0.2"/>
  <cols>
    <col min="1" max="1" width="2.5" customWidth="1"/>
    <col min="2" max="2" width="5.1640625" customWidth="1"/>
    <col min="3" max="17" width="5" customWidth="1"/>
    <col min="18" max="18" width="2.1640625" customWidth="1"/>
    <col min="19" max="19" width="1.1640625" customWidth="1"/>
    <col min="20" max="20" width="5.1640625" customWidth="1"/>
    <col min="21" max="21" width="46.33203125" customWidth="1"/>
    <col min="22" max="22" width="9.33203125" customWidth="1"/>
    <col min="23" max="23" width="13.5" customWidth="1"/>
    <col min="24" max="43" width="9.33203125" customWidth="1"/>
    <col min="44" max="44" width="9.5" customWidth="1"/>
  </cols>
  <sheetData>
    <row r="1" spans="2:41" ht="30" customHeight="1" x14ac:dyDescent="0.2">
      <c r="B1" s="5"/>
      <c r="C1" s="53">
        <v>2023</v>
      </c>
      <c r="D1" s="53"/>
      <c r="E1" s="53"/>
      <c r="F1" s="53"/>
      <c r="G1" s="12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5"/>
      <c r="T1" s="5"/>
      <c r="U1" s="8" t="s">
        <v>17</v>
      </c>
      <c r="V1" s="5"/>
      <c r="W1" s="5"/>
    </row>
    <row r="2" spans="2:41" ht="15" customHeight="1" x14ac:dyDescent="0.2">
      <c r="S2" s="5"/>
    </row>
    <row r="3" spans="2:41" ht="15" customHeight="1" x14ac:dyDescent="0.3">
      <c r="C3" s="32" t="s">
        <v>7</v>
      </c>
      <c r="D3" s="4"/>
      <c r="E3" s="4"/>
      <c r="F3" s="4"/>
      <c r="G3" s="4"/>
      <c r="H3" s="4"/>
      <c r="I3" s="4"/>
      <c r="J3" s="4"/>
      <c r="K3" s="30" t="s">
        <v>8</v>
      </c>
      <c r="L3" s="4"/>
      <c r="M3" s="4"/>
      <c r="N3" s="4"/>
      <c r="O3" s="4"/>
      <c r="P3" s="4"/>
      <c r="Q3" s="4"/>
      <c r="S3" s="5"/>
      <c r="U3" s="21" t="s">
        <v>23</v>
      </c>
    </row>
    <row r="4" spans="2:41" ht="15" customHeight="1" x14ac:dyDescent="0.3">
      <c r="C4" s="27" t="s">
        <v>1</v>
      </c>
      <c r="D4" s="27" t="s">
        <v>10</v>
      </c>
      <c r="E4" s="27" t="s">
        <v>1</v>
      </c>
      <c r="F4" s="27" t="s">
        <v>10</v>
      </c>
      <c r="G4" s="27" t="s">
        <v>2</v>
      </c>
      <c r="H4" s="27" t="s">
        <v>0</v>
      </c>
      <c r="I4" s="27" t="s">
        <v>0</v>
      </c>
      <c r="J4" s="2"/>
      <c r="K4" s="27" t="s">
        <v>1</v>
      </c>
      <c r="L4" s="27" t="s">
        <v>10</v>
      </c>
      <c r="M4" s="27" t="s">
        <v>1</v>
      </c>
      <c r="N4" s="27" t="s">
        <v>10</v>
      </c>
      <c r="O4" s="27" t="s">
        <v>2</v>
      </c>
      <c r="P4" s="27" t="s">
        <v>0</v>
      </c>
      <c r="Q4" s="27" t="s">
        <v>0</v>
      </c>
      <c r="S4" s="5"/>
      <c r="U4" s="22" t="s">
        <v>18</v>
      </c>
    </row>
    <row r="5" spans="2:41" ht="15" customHeight="1" x14ac:dyDescent="0.3">
      <c r="C5" s="3" t="str">
        <f>IF(DAY(JanSun1)=1,"",IF(AND(YEAR(JanSun1+1)=CalendarYear,MONTH(JanSun1+1)=1),JanSun1+1,""))</f>
        <v/>
      </c>
      <c r="D5" s="3" t="str">
        <f>IF(DAY(JanSun1)=1,"",IF(AND(YEAR(JanSun1+2)=CalendarYear,MONTH(JanSun1+2)=1),JanSun1+2,""))</f>
        <v/>
      </c>
      <c r="E5" s="3" t="str">
        <f>IF(DAY(JanSun1)=1,"",IF(AND(YEAR(JanSun1+3)=CalendarYear,MONTH(JanSun1+3)=1),JanSun1+3,""))</f>
        <v/>
      </c>
      <c r="F5" s="3" t="str">
        <f>IF(DAY(JanSun1)=1,"",IF(AND(YEAR(JanSun1+4)=CalendarYear,MONTH(JanSun1+4)=1),JanSun1+4,""))</f>
        <v/>
      </c>
      <c r="G5" s="3" t="str">
        <f>IF(DAY(JanSun1)=1,"",IF(AND(YEAR(JanSun1+5)=CalendarYear,MONTH(JanSun1+5)=1),JanSun1+5,""))</f>
        <v/>
      </c>
      <c r="H5" s="15" t="str">
        <f>IF(DAY(JanSun1)=1,"",IF(AND(YEAR(JanSun1+6)=CalendarYear,MONTH(JanSun1+6)=1),JanSun1+6,""))</f>
        <v/>
      </c>
      <c r="I5" s="15">
        <f>IF(DAY(JanSun1)=1,IF(AND(YEAR(JanSun1)=CalendarYear,MONTH(JanSun1)=1),JanSun1,""),IF(AND(YEAR(JanSun1+7)=CalendarYear,MONTH(JanSun1+7)=1),JanSun1+7,""))</f>
        <v>44927</v>
      </c>
      <c r="J5" s="3"/>
      <c r="K5" s="3" t="str">
        <f>IF(DAY(FebSun1)=1,"",IF(AND(YEAR(FebSun1+1)=CalendarYear,MONTH(FebSun1+1)=2),FebSun1+1,""))</f>
        <v/>
      </c>
      <c r="L5" s="15" t="str">
        <f>IF(DAY(FebSun1)=1,"",IF(AND(YEAR(FebSun1+2)=CalendarYear,MONTH(FebSun1+2)=2),FebSun1+2,""))</f>
        <v/>
      </c>
      <c r="M5" s="15">
        <f>IF(DAY(FebSun1)=1,"",IF(AND(YEAR(FebSun1+3)=CalendarYear,MONTH(FebSun1+3)=2),FebSun1+3,""))</f>
        <v>44958</v>
      </c>
      <c r="N5" s="15">
        <f>IF(DAY(FebSun1)=1,"",IF(AND(YEAR(FebSun1+4)=CalendarYear,MONTH(FebSun1+4)=2),FebSun1+4,""))</f>
        <v>44959</v>
      </c>
      <c r="O5" s="15">
        <f>IF(DAY(FebSun1)=1,"",IF(AND(YEAR(FebSun1+5)=CalendarYear,MONTH(FebSun1+5)=2),FebSun1+5,""))</f>
        <v>44960</v>
      </c>
      <c r="P5" s="15">
        <f>IF(DAY(FebSun1)=1,"",IF(AND(YEAR(FebSun1+6)=CalendarYear,MONTH(FebSun1+6)=2),FebSun1+6,""))</f>
        <v>44961</v>
      </c>
      <c r="Q5" s="15">
        <f>IF(DAY(FebSun1)=1,IF(AND(YEAR(FebSun1)=CalendarYear,MONTH(FebSun1)=2),FebSun1,""),IF(AND(YEAR(FebSun1+7)=CalendarYear,MONTH(FebSun1+7)=2),FebSun1+7,""))</f>
        <v>44962</v>
      </c>
      <c r="S5" s="5"/>
      <c r="U5" s="23" t="s">
        <v>19</v>
      </c>
    </row>
    <row r="6" spans="2:41" ht="15" customHeight="1" x14ac:dyDescent="0.3">
      <c r="C6" s="15">
        <f>IF(DAY(JanSun1)=1,IF(AND(YEAR(JanSun1+1)=CalendarYear,MONTH(JanSun1+1)=1),JanSun1+1,""),IF(AND(YEAR(JanSun1+8)=CalendarYear,MONTH(JanSun1+8)=1),JanSun1+8,""))</f>
        <v>44928</v>
      </c>
      <c r="D6" s="15">
        <f>IF(DAY(JanSun1)=1,IF(AND(YEAR(JanSun1+2)=CalendarYear,MONTH(JanSun1+2)=1),JanSun1+2,""),IF(AND(YEAR(JanSun1+9)=CalendarYear,MONTH(JanSun1+9)=1),JanSun1+9,""))</f>
        <v>44929</v>
      </c>
      <c r="E6" s="15">
        <f>IF(DAY(JanSun1)=1,IF(AND(YEAR(JanSun1+3)=CalendarYear,MONTH(JanSun1+3)=1),JanSun1+3,""),IF(AND(YEAR(JanSun1+10)=CalendarYear,MONTH(JanSun1+10)=1),JanSun1+10,""))</f>
        <v>44930</v>
      </c>
      <c r="F6" s="15">
        <f>IF(DAY(JanSun1)=1,IF(AND(YEAR(JanSun1+4)=CalendarYear,MONTH(JanSun1+4)=1),JanSun1+4,""),IF(AND(YEAR(JanSun1+11)=CalendarYear,MONTH(JanSun1+11)=1),JanSun1+11,""))</f>
        <v>44931</v>
      </c>
      <c r="G6" s="15">
        <f>IF(DAY(JanSun1)=1,IF(AND(YEAR(JanSun1+5)=CalendarYear,MONTH(JanSun1+5)=1),JanSun1+5,""),IF(AND(YEAR(JanSun1+12)=CalendarYear,MONTH(JanSun1+12)=1),JanSun1+12,""))</f>
        <v>44932</v>
      </c>
      <c r="H6" s="15">
        <f>IF(DAY(JanSun1)=1,IF(AND(YEAR(JanSun1+6)=CalendarYear,MONTH(JanSun1+6)=1),JanSun1+6,""),IF(AND(YEAR(JanSun1+13)=CalendarYear,MONTH(JanSun1+13)=1),JanSun1+13,""))</f>
        <v>44933</v>
      </c>
      <c r="I6" s="15">
        <f>IF(DAY(JanSun1)=1,IF(AND(YEAR(JanSun1+7)=CalendarYear,MONTH(JanSun1+7)=1),JanSun1+7,""),IF(AND(YEAR(JanSun1+14)=CalendarYear,MONTH(JanSun1+14)=1),JanSun1+14,""))</f>
        <v>44934</v>
      </c>
      <c r="J6" s="3"/>
      <c r="K6" s="15">
        <f>IF(DAY(FebSun1)=1,IF(AND(YEAR(FebSun1+1)=CalendarYear,MONTH(FebSun1+1)=2),FebSun1+1,""),IF(AND(YEAR(FebSun1+8)=CalendarYear,MONTH(FebSun1+8)=2),FebSun1+8,""))</f>
        <v>44963</v>
      </c>
      <c r="L6" s="15">
        <f>IF(DAY(FebSun1)=1,IF(AND(YEAR(FebSun1+2)=CalendarYear,MONTH(FebSun1+2)=2),FebSun1+2,""),IF(AND(YEAR(FebSun1+9)=CalendarYear,MONTH(FebSun1+9)=2),FebSun1+9,""))</f>
        <v>44964</v>
      </c>
      <c r="M6" s="15">
        <f>IF(DAY(FebSun1)=1,IF(AND(YEAR(FebSun1+3)=CalendarYear,MONTH(FebSun1+3)=2),FebSun1+3,""),IF(AND(YEAR(FebSun1+10)=CalendarYear,MONTH(FebSun1+10)=2),FebSun1+10,""))</f>
        <v>44965</v>
      </c>
      <c r="N6" s="15">
        <f>IF(DAY(FebSun1)=1,IF(AND(YEAR(FebSun1+4)=CalendarYear,MONTH(FebSun1+4)=2),FebSun1+4,""),IF(AND(YEAR(FebSun1+11)=CalendarYear,MONTH(FebSun1+11)=2),FebSun1+11,""))</f>
        <v>44966</v>
      </c>
      <c r="O6" s="15">
        <f>IF(DAY(FebSun1)=1,IF(AND(YEAR(FebSun1+5)=CalendarYear,MONTH(FebSun1+5)=2),FebSun1+5,""),IF(AND(YEAR(FebSun1+12)=CalendarYear,MONTH(FebSun1+12)=2),FebSun1+12,""))</f>
        <v>44967</v>
      </c>
      <c r="P6" s="15">
        <f>IF(DAY(FebSun1)=1,IF(AND(YEAR(FebSun1+6)=CalendarYear,MONTH(FebSun1+6)=2),FebSun1+6,""),IF(AND(YEAR(FebSun1+13)=CalendarYear,MONTH(FebSun1+13)=2),FebSun1+13,""))</f>
        <v>44968</v>
      </c>
      <c r="Q6" s="15">
        <f>IF(DAY(FebSun1)=1,IF(AND(YEAR(FebSun1+7)=CalendarYear,MONTH(FebSun1+7)=2),FebSun1+7,""),IF(AND(YEAR(FebSun1+14)=CalendarYear,MONTH(FebSun1+14)=2),FebSun1+14,""))</f>
        <v>44969</v>
      </c>
      <c r="S6" s="5"/>
      <c r="U6" s="24" t="s">
        <v>20</v>
      </c>
    </row>
    <row r="7" spans="2:41" ht="15" customHeight="1" x14ac:dyDescent="0.25">
      <c r="C7" s="15">
        <f>IF(DAY(JanSun1)=1,IF(AND(YEAR(JanSun1+8)=CalendarYear,MONTH(JanSun1+8)=1),JanSun1+8,""),IF(AND(YEAR(JanSun1+15)=CalendarYear,MONTH(JanSun1+15)=1),JanSun1+15,""))</f>
        <v>44935</v>
      </c>
      <c r="D7" s="15">
        <f>IF(DAY(JanSun1)=1,IF(AND(YEAR(JanSun1+9)=CalendarYear,MONTH(JanSun1+9)=1),JanSun1+9,""),IF(AND(YEAR(JanSun1+16)=CalendarYear,MONTH(JanSun1+16)=1),JanSun1+16,""))</f>
        <v>44936</v>
      </c>
      <c r="E7" s="15">
        <f>IF(DAY(JanSun1)=1,IF(AND(YEAR(JanSun1+10)=CalendarYear,MONTH(JanSun1+10)=1),JanSun1+10,""),IF(AND(YEAR(JanSun1+17)=CalendarYear,MONTH(JanSun1+17)=1),JanSun1+17,""))</f>
        <v>44937</v>
      </c>
      <c r="F7" s="15">
        <f>IF(DAY(JanSun1)=1,IF(AND(YEAR(JanSun1+11)=CalendarYear,MONTH(JanSun1+11)=1),JanSun1+11,""),IF(AND(YEAR(JanSun1+18)=CalendarYear,MONTH(JanSun1+18)=1),JanSun1+18,""))</f>
        <v>44938</v>
      </c>
      <c r="G7" s="15">
        <f>IF(DAY(JanSun1)=1,IF(AND(YEAR(JanSun1+12)=CalendarYear,MONTH(JanSun1+12)=1),JanSun1+12,""),IF(AND(YEAR(JanSun1+19)=CalendarYear,MONTH(JanSun1+19)=1),JanSun1+19,""))</f>
        <v>44939</v>
      </c>
      <c r="H7" s="15">
        <f>IF(DAY(JanSun1)=1,IF(AND(YEAR(JanSun1+13)=CalendarYear,MONTH(JanSun1+13)=1),JanSun1+13,""),IF(AND(YEAR(JanSun1+20)=CalendarYear,MONTH(JanSun1+20)=1),JanSun1+20,""))</f>
        <v>44940</v>
      </c>
      <c r="I7" s="15">
        <f>IF(DAY(JanSun1)=1,IF(AND(YEAR(JanSun1+14)=CalendarYear,MONTH(JanSun1+14)=1),JanSun1+14,""),IF(AND(YEAR(JanSun1+21)=CalendarYear,MONTH(JanSun1+21)=1),JanSun1+21,""))</f>
        <v>44941</v>
      </c>
      <c r="J7" s="3"/>
      <c r="K7" s="15">
        <f>IF(DAY(FebSun1)=1,IF(AND(YEAR(FebSun1+8)=CalendarYear,MONTH(FebSun1+8)=2),FebSun1+8,""),IF(AND(YEAR(FebSun1+15)=CalendarYear,MONTH(FebSun1+15)=2),FebSun1+15,""))</f>
        <v>44970</v>
      </c>
      <c r="L7" s="15">
        <f>IF(DAY(FebSun1)=1,IF(AND(YEAR(FebSun1+9)=CalendarYear,MONTH(FebSun1+9)=2),FebSun1+9,""),IF(AND(YEAR(FebSun1+16)=CalendarYear,MONTH(FebSun1+16)=2),FebSun1+16,""))</f>
        <v>44971</v>
      </c>
      <c r="M7" s="15">
        <f>IF(DAY(FebSun1)=1,IF(AND(YEAR(FebSun1+10)=CalendarYear,MONTH(FebSun1+10)=2),FebSun1+10,""),IF(AND(YEAR(FebSun1+17)=CalendarYear,MONTH(FebSun1+17)=2),FebSun1+17,""))</f>
        <v>44972</v>
      </c>
      <c r="N7" s="15">
        <f>IF(DAY(FebSun1)=1,IF(AND(YEAR(FebSun1+11)=CalendarYear,MONTH(FebSun1+11)=2),FebSun1+11,""),IF(AND(YEAR(FebSun1+18)=CalendarYear,MONTH(FebSun1+18)=2),FebSun1+18,""))</f>
        <v>44973</v>
      </c>
      <c r="O7" s="15">
        <f>IF(DAY(FebSun1)=1,IF(AND(YEAR(FebSun1+12)=CalendarYear,MONTH(FebSun1+12)=2),FebSun1+12,""),IF(AND(YEAR(FebSun1+19)=CalendarYear,MONTH(FebSun1+19)=2),FebSun1+19,""))</f>
        <v>44974</v>
      </c>
      <c r="P7" s="15">
        <f>IF(DAY(FebSun1)=1,IF(AND(YEAR(FebSun1+13)=CalendarYear,MONTH(FebSun1+13)=2),FebSun1+13,""),IF(AND(YEAR(FebSun1+20)=CalendarYear,MONTH(FebSun1+20)=2),FebSun1+20,""))</f>
        <v>44975</v>
      </c>
      <c r="Q7" s="15">
        <f>IF(DAY(FebSun1)=1,IF(AND(YEAR(FebSun1+14)=CalendarYear,MONTH(FebSun1+14)=2),FebSun1+14,""),IF(AND(YEAR(FebSun1+21)=CalendarYear,MONTH(FebSun1+21)=2),FebSun1+21,""))</f>
        <v>44976</v>
      </c>
      <c r="S7" s="5"/>
      <c r="U7" s="45" t="s">
        <v>31</v>
      </c>
    </row>
    <row r="8" spans="2:41" ht="15" customHeight="1" x14ac:dyDescent="0.25">
      <c r="C8" s="15">
        <f>IF(DAY(JanSun1)=1,IF(AND(YEAR(JanSun1+15)=CalendarYear,MONTH(JanSun1+15)=1),JanSun1+15,""),IF(AND(YEAR(JanSun1+22)=CalendarYear,MONTH(JanSun1+22)=1),JanSun1+22,""))</f>
        <v>44942</v>
      </c>
      <c r="D8" s="15">
        <f>IF(DAY(JanSun1)=1,IF(AND(YEAR(JanSun1+16)=CalendarYear,MONTH(JanSun1+16)=1),JanSun1+16,""),IF(AND(YEAR(JanSun1+23)=CalendarYear,MONTH(JanSun1+23)=1),JanSun1+23,""))</f>
        <v>44943</v>
      </c>
      <c r="E8" s="15">
        <f>IF(DAY(JanSun1)=1,IF(AND(YEAR(JanSun1+17)=CalendarYear,MONTH(JanSun1+17)=1),JanSun1+17,""),IF(AND(YEAR(JanSun1+24)=CalendarYear,MONTH(JanSun1+24)=1),JanSun1+24,""))</f>
        <v>44944</v>
      </c>
      <c r="F8" s="15">
        <f>IF(DAY(JanSun1)=1,IF(AND(YEAR(JanSun1+18)=CalendarYear,MONTH(JanSun1+18)=1),JanSun1+18,""),IF(AND(YEAR(JanSun1+25)=CalendarYear,MONTH(JanSun1+25)=1),JanSun1+25,""))</f>
        <v>44945</v>
      </c>
      <c r="G8" s="15">
        <f>IF(DAY(JanSun1)=1,IF(AND(YEAR(JanSun1+19)=CalendarYear,MONTH(JanSun1+19)=1),JanSun1+19,""),IF(AND(YEAR(JanSun1+26)=CalendarYear,MONTH(JanSun1+26)=1),JanSun1+26,""))</f>
        <v>44946</v>
      </c>
      <c r="H8" s="15">
        <f>IF(DAY(JanSun1)=1,IF(AND(YEAR(JanSun1+20)=CalendarYear,MONTH(JanSun1+20)=1),JanSun1+20,""),IF(AND(YEAR(JanSun1+27)=CalendarYear,MONTH(JanSun1+27)=1),JanSun1+27,""))</f>
        <v>44947</v>
      </c>
      <c r="I8" s="15">
        <f>IF(DAY(JanSun1)=1,IF(AND(YEAR(JanSun1+21)=CalendarYear,MONTH(JanSun1+21)=1),JanSun1+21,""),IF(AND(YEAR(JanSun1+28)=CalendarYear,MONTH(JanSun1+28)=1),JanSun1+28,""))</f>
        <v>44948</v>
      </c>
      <c r="J8" s="3"/>
      <c r="K8" s="15">
        <f>IF(DAY(FebSun1)=1,IF(AND(YEAR(FebSun1+15)=CalendarYear,MONTH(FebSun1+15)=2),FebSun1+15,""),IF(AND(YEAR(FebSun1+22)=CalendarYear,MONTH(FebSun1+22)=2),FebSun1+22,""))</f>
        <v>44977</v>
      </c>
      <c r="L8" s="15">
        <f>IF(DAY(FebSun1)=1,IF(AND(YEAR(FebSun1+16)=CalendarYear,MONTH(FebSun1+16)=2),FebSun1+16,""),IF(AND(YEAR(FebSun1+23)=CalendarYear,MONTH(FebSun1+23)=2),FebSun1+23,""))</f>
        <v>44978</v>
      </c>
      <c r="M8" s="15">
        <f>IF(DAY(FebSun1)=1,IF(AND(YEAR(FebSun1+17)=CalendarYear,MONTH(FebSun1+17)=2),FebSun1+17,""),IF(AND(YEAR(FebSun1+24)=CalendarYear,MONTH(FebSun1+24)=2),FebSun1+24,""))</f>
        <v>44979</v>
      </c>
      <c r="N8" s="15">
        <f>IF(DAY(FebSun1)=1,IF(AND(YEAR(FebSun1+18)=CalendarYear,MONTH(FebSun1+18)=2),FebSun1+18,""),IF(AND(YEAR(FebSun1+25)=CalendarYear,MONTH(FebSun1+25)=2),FebSun1+25,""))</f>
        <v>44980</v>
      </c>
      <c r="O8" s="15">
        <f>IF(DAY(FebSun1)=1,IF(AND(YEAR(FebSun1+19)=CalendarYear,MONTH(FebSun1+19)=2),FebSun1+19,""),IF(AND(YEAR(FebSun1+26)=CalendarYear,MONTH(FebSun1+26)=2),FebSun1+26,""))</f>
        <v>44981</v>
      </c>
      <c r="P8" s="15">
        <f>IF(DAY(FebSun1)=1,IF(AND(YEAR(FebSun1+20)=CalendarYear,MONTH(FebSun1+20)=2),FebSun1+20,""),IF(AND(YEAR(FebSun1+27)=CalendarYear,MONTH(FebSun1+27)=2),FebSun1+27,""))</f>
        <v>44982</v>
      </c>
      <c r="Q8" s="15">
        <f>IF(DAY(FebSun1)=1,IF(AND(YEAR(FebSun1+21)=CalendarYear,MONTH(FebSun1+21)=2),FebSun1+21,""),IF(AND(YEAR(FebSun1+28)=CalendarYear,MONTH(FebSun1+28)=2),FebSun1+28,""))</f>
        <v>44983</v>
      </c>
      <c r="S8" s="5"/>
      <c r="U8" s="17"/>
    </row>
    <row r="9" spans="2:41" ht="15" customHeight="1" x14ac:dyDescent="0.25">
      <c r="C9" s="15">
        <f>IF(DAY(JanSun1)=1,IF(AND(YEAR(JanSun1+22)=CalendarYear,MONTH(JanSun1+22)=1),JanSun1+22,""),IF(AND(YEAR(JanSun1+29)=CalendarYear,MONTH(JanSun1+29)=1),JanSun1+29,""))</f>
        <v>44949</v>
      </c>
      <c r="D9" s="15">
        <f>IF(DAY(JanSun1)=1,IF(AND(YEAR(JanSun1+23)=CalendarYear,MONTH(JanSun1+23)=1),JanSun1+23,""),IF(AND(YEAR(JanSun1+30)=CalendarYear,MONTH(JanSun1+30)=1),JanSun1+30,""))</f>
        <v>44950</v>
      </c>
      <c r="E9" s="15">
        <f>IF(DAY(JanSun1)=1,IF(AND(YEAR(JanSun1+24)=CalendarYear,MONTH(JanSun1+24)=1),JanSun1+24,""),IF(AND(YEAR(JanSun1+31)=CalendarYear,MONTH(JanSun1+31)=1),JanSun1+31,""))</f>
        <v>44951</v>
      </c>
      <c r="F9" s="15">
        <f>IF(DAY(JanSun1)=1,IF(AND(YEAR(JanSun1+25)=CalendarYear,MONTH(JanSun1+25)=1),JanSun1+25,""),IF(AND(YEAR(JanSun1+32)=CalendarYear,MONTH(JanSun1+32)=1),JanSun1+32,""))</f>
        <v>44952</v>
      </c>
      <c r="G9" s="15">
        <f>IF(DAY(JanSun1)=1,IF(AND(YEAR(JanSun1+26)=CalendarYear,MONTH(JanSun1+26)=1),JanSun1+26,""),IF(AND(YEAR(JanSun1+33)=CalendarYear,MONTH(JanSun1+33)=1),JanSun1+33,""))</f>
        <v>44953</v>
      </c>
      <c r="H9" s="15">
        <f>IF(DAY(JanSun1)=1,IF(AND(YEAR(JanSun1+27)=CalendarYear,MONTH(JanSun1+27)=1),JanSun1+27,""),IF(AND(YEAR(JanSun1+34)=CalendarYear,MONTH(JanSun1+34)=1),JanSun1+34,""))</f>
        <v>44954</v>
      </c>
      <c r="I9" s="15">
        <f>IF(DAY(JanSun1)=1,IF(AND(YEAR(JanSun1+28)=CalendarYear,MONTH(JanSun1+28)=1),JanSun1+28,""),IF(AND(YEAR(JanSun1+35)=CalendarYear,MONTH(JanSun1+35)=1),JanSun1+35,""))</f>
        <v>44955</v>
      </c>
      <c r="J9" s="3"/>
      <c r="K9" s="15">
        <f>IF(DAY(FebSun1)=1,IF(AND(YEAR(FebSun1+22)=CalendarYear,MONTH(FebSun1+22)=2),FebSun1+22,""),IF(AND(YEAR(FebSun1+29)=CalendarYear,MONTH(FebSun1+29)=2),FebSun1+29,""))</f>
        <v>44984</v>
      </c>
      <c r="L9" s="3">
        <f>IF(DAY(FebSun1)=1,IF(AND(YEAR(FebSun1+23)=CalendarYear,MONTH(FebSun1+23)=2),FebSun1+23,""),IF(AND(YEAR(FebSun1+30)=CalendarYear,MONTH(FebSun1+30)=2),FebSun1+30,""))</f>
        <v>44985</v>
      </c>
      <c r="M9" s="3" t="str">
        <f>IF(DAY(FebSun1)=1,IF(AND(YEAR(FebSun1+24)=CalendarYear,MONTH(FebSun1+24)=2),FebSun1+24,""),IF(AND(YEAR(FebSun1+31)=CalendarYear,MONTH(FebSun1+31)=2),FebSun1+31,""))</f>
        <v/>
      </c>
      <c r="N9" s="3" t="str">
        <f>IF(DAY(FebSun1)=1,IF(AND(YEAR(FebSun1+25)=CalendarYear,MONTH(FebSun1+25)=2),FebSun1+25,""),IF(AND(YEAR(FebSun1+32)=CalendarYear,MONTH(FebSun1+32)=2),FebSun1+32,""))</f>
        <v/>
      </c>
      <c r="O9" s="3" t="str">
        <f>IF(DAY(FebSun1)=1,IF(AND(YEAR(FebSun1+26)=CalendarYear,MONTH(FebSun1+26)=2),FebSun1+26,""),IF(AND(YEAR(FebSun1+33)=CalendarYear,MONTH(FebSun1+33)=2),FebSun1+33,""))</f>
        <v/>
      </c>
      <c r="P9" s="3" t="str">
        <f>IF(DAY(FebSun1)=1,IF(AND(YEAR(FebSun1+27)=CalendarYear,MONTH(FebSun1+27)=2),FebSun1+27,""),IF(AND(YEAR(FebSun1+34)=CalendarYear,MONTH(FebSun1+34)=2),FebSun1+34,""))</f>
        <v/>
      </c>
      <c r="Q9" s="3" t="str">
        <f>IF(DAY(FebSun1)=1,IF(AND(YEAR(FebSun1+28)=CalendarYear,MONTH(FebSun1+28)=2),FebSun1+28,""),IF(AND(YEAR(FebSun1+35)=CalendarYear,MONTH(FebSun1+35)=2),FebSun1+35,""))</f>
        <v/>
      </c>
      <c r="S9" s="5"/>
      <c r="U9" s="16"/>
    </row>
    <row r="10" spans="2:41" ht="15" customHeight="1" x14ac:dyDescent="0.2">
      <c r="C10" s="15">
        <f>IF(DAY(JanSun1)=1,IF(AND(YEAR(JanSun1+29)=CalendarYear,MONTH(JanSun1+29)=1),JanSun1+29,""),IF(AND(YEAR(JanSun1+36)=CalendarYear,MONTH(JanSun1+36)=1),JanSun1+36,""))</f>
        <v>44956</v>
      </c>
      <c r="D10" s="3">
        <f>IF(DAY(JanSun1)=1,IF(AND(YEAR(JanSun1+30)=CalendarYear,MONTH(JanSun1+30)=1),JanSun1+30,""),IF(AND(YEAR(JanSun1+37)=CalendarYear,MONTH(JanSun1+37)=1),JanSun1+37,""))</f>
        <v>44957</v>
      </c>
      <c r="E10" s="3" t="str">
        <f>IF(DAY(JanSun1)=1,IF(AND(YEAR(JanSun1+31)=CalendarYear,MONTH(JanSun1+31)=1),JanSun1+31,""),IF(AND(YEAR(JanSun1+38)=CalendarYear,MONTH(JanSun1+38)=1),JanSun1+38,""))</f>
        <v/>
      </c>
      <c r="F10" s="3" t="str">
        <f>IF(DAY(JanSun1)=1,IF(AND(YEAR(JanSun1+32)=CalendarYear,MONTH(JanSun1+32)=1),JanSun1+32,""),IF(AND(YEAR(JanSun1+39)=CalendarYear,MONTH(JanSun1+39)=1),JanSun1+39,""))</f>
        <v/>
      </c>
      <c r="G10" s="3" t="str">
        <f>IF(DAY(JanSun1)=1,IF(AND(YEAR(JanSun1+33)=CalendarYear,MONTH(JanSun1+33)=1),JanSun1+33,""),IF(AND(YEAR(JanSun1+40)=CalendarYear,MONTH(JanSun1+40)=1),JanSun1+40,""))</f>
        <v/>
      </c>
      <c r="H10" s="3" t="str">
        <f>IF(DAY(JanSun1)=1,IF(AND(YEAR(JanSun1+34)=CalendarYear,MONTH(JanSun1+34)=1),JanSun1+34,""),IF(AND(YEAR(JanSun1+41)=CalendarYear,MONTH(JanSun1+41)=1),JanSun1+41,""))</f>
        <v/>
      </c>
      <c r="I10" s="3" t="str">
        <f>IF(DAY(JanSun1)=1,IF(AND(YEAR(JanSun1+35)=CalendarYear,MONTH(JanSun1+35)=1),JanSun1+35,""),IF(AND(YEAR(JanSun1+42)=CalendarYear,MONTH(JanSun1+42)=1),JanSun1+42,""))</f>
        <v/>
      </c>
      <c r="J10" s="3"/>
      <c r="K10" s="3" t="str">
        <f>IF(DAY(FebSun1)=1,IF(AND(YEAR(FebSun1+29)=CalendarYear,MONTH(FebSun1+29)=2),FebSun1+29,""),IF(AND(YEAR(FebSun1+36)=CalendarYear,MONTH(FebSun1+36)=2),FebSun1+36,""))</f>
        <v/>
      </c>
      <c r="L10" s="3" t="str">
        <f>IF(DAY(FebSun1)=1,IF(AND(YEAR(FebSun1+30)=CalendarYear,MONTH(FebSun1+30)=2),FebSun1+30,""),IF(AND(YEAR(FebSun1+37)=CalendarYear,MONTH(FebSun1+37)=2),FebSun1+37,""))</f>
        <v/>
      </c>
      <c r="M10" s="3" t="str">
        <f>IF(DAY(FebSun1)=1,IF(AND(YEAR(FebSun1+31)=CalendarYear,MONTH(FebSun1+31)=2),FebSun1+31,""),IF(AND(YEAR(FebSun1+38)=CalendarYear,MONTH(FebSun1+38)=2),FebSun1+38,""))</f>
        <v/>
      </c>
      <c r="N10" s="3" t="str">
        <f>IF(DAY(FebSun1)=1,IF(AND(YEAR(FebSun1+32)=CalendarYear,MONTH(FebSun1+32)=2),FebSun1+32,""),IF(AND(YEAR(FebSun1+39)=CalendarYear,MONTH(FebSun1+39)=2),FebSun1+39,""))</f>
        <v/>
      </c>
      <c r="O10" s="3" t="str">
        <f>IF(DAY(FebSun1)=1,IF(AND(YEAR(FebSun1+33)=CalendarYear,MONTH(FebSun1+33)=2),FebSun1+33,""),IF(AND(YEAR(FebSun1+40)=CalendarYear,MONTH(FebSun1+40)=2),FebSun1+40,""))</f>
        <v/>
      </c>
      <c r="P10" s="3" t="str">
        <f>IF(DAY(FebSun1)=1,IF(AND(YEAR(FebSun1+34)=CalendarYear,MONTH(FebSun1+34)=2),FebSun1+34,""),IF(AND(YEAR(FebSun1+41)=CalendarYear,MONTH(FebSun1+41)=2),FebSun1+41,""))</f>
        <v/>
      </c>
      <c r="Q10" s="3" t="str">
        <f>IF(DAY(FebSun1)=1,IF(AND(YEAR(FebSun1+35)=CalendarYear,MONTH(FebSun1+35)=2),FebSun1+35,""),IF(AND(YEAR(FebSun1+42)=CalendarYear,MONTH(FebSun1+42)=2),FebSun1+42,""))</f>
        <v/>
      </c>
      <c r="S10" s="5"/>
      <c r="U10" s="14"/>
    </row>
    <row r="11" spans="2:41" ht="15" customHeight="1" x14ac:dyDescent="0.2"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S11" s="5"/>
      <c r="U11" s="10"/>
    </row>
    <row r="12" spans="2:41" ht="15" customHeight="1" x14ac:dyDescent="0.25">
      <c r="C12" s="30" t="s">
        <v>11</v>
      </c>
      <c r="D12" s="4"/>
      <c r="E12" s="4"/>
      <c r="F12" s="4"/>
      <c r="G12" s="4"/>
      <c r="H12" s="4"/>
      <c r="I12" s="4"/>
      <c r="J12" s="1"/>
      <c r="K12" s="30" t="s">
        <v>3</v>
      </c>
      <c r="L12" s="4"/>
      <c r="M12" s="4"/>
      <c r="N12" s="4"/>
      <c r="O12" s="4"/>
      <c r="P12" s="4"/>
      <c r="Q12" s="4"/>
      <c r="S12" s="7"/>
      <c r="U12" s="11"/>
      <c r="V12" s="1"/>
      <c r="W12" s="1"/>
      <c r="X12" s="1"/>
      <c r="Y12" s="1"/>
      <c r="AA12" s="1"/>
      <c r="AB12" s="1"/>
      <c r="AC12" s="1"/>
      <c r="AD12" s="1"/>
      <c r="AE12" s="1"/>
      <c r="AF12" s="1"/>
      <c r="AG12" s="1"/>
      <c r="AI12" s="1"/>
      <c r="AJ12" s="1"/>
      <c r="AK12" s="1"/>
      <c r="AL12" s="1"/>
      <c r="AM12" s="1"/>
      <c r="AN12" s="1"/>
      <c r="AO12" s="1"/>
    </row>
    <row r="13" spans="2:41" ht="15" customHeight="1" x14ac:dyDescent="0.25">
      <c r="C13" s="27" t="s">
        <v>1</v>
      </c>
      <c r="D13" s="27" t="s">
        <v>10</v>
      </c>
      <c r="E13" s="27" t="s">
        <v>1</v>
      </c>
      <c r="F13" s="27" t="s">
        <v>10</v>
      </c>
      <c r="G13" s="27" t="s">
        <v>2</v>
      </c>
      <c r="H13" s="27" t="s">
        <v>0</v>
      </c>
      <c r="I13" s="27" t="s">
        <v>0</v>
      </c>
      <c r="J13" s="4"/>
      <c r="K13" s="27" t="s">
        <v>1</v>
      </c>
      <c r="L13" s="27" t="s">
        <v>10</v>
      </c>
      <c r="M13" s="27" t="s">
        <v>1</v>
      </c>
      <c r="N13" s="27" t="s">
        <v>10</v>
      </c>
      <c r="O13" s="27" t="s">
        <v>2</v>
      </c>
      <c r="P13" s="27" t="s">
        <v>0</v>
      </c>
      <c r="Q13" s="27" t="s">
        <v>0</v>
      </c>
      <c r="R13" s="28"/>
      <c r="S13" s="5"/>
    </row>
    <row r="14" spans="2:41" ht="15" customHeight="1" x14ac:dyDescent="0.25">
      <c r="C14" s="29" t="str">
        <f>IF(DAY(MarSun1)=1,"",IF(AND(YEAR(MarSun1+1)=CalendarYear,MONTH(MarSun1+1)=3),MarSun1+1,""))</f>
        <v/>
      </c>
      <c r="D14" s="29" t="str">
        <f>IF(DAY(MarSun1)=1,"",IF(AND(YEAR(MarSun1+2)=CalendarYear,MONTH(MarSun1+2)=3),MarSun1+2,""))</f>
        <v/>
      </c>
      <c r="E14" s="29">
        <f>IF(DAY(MarSun1)=1,"",IF(AND(YEAR(MarSun1+3)=CalendarYear,MONTH(MarSun1+3)=3),MarSun1+3,""))</f>
        <v>44986</v>
      </c>
      <c r="F14" s="29">
        <f>IF(DAY(MarSun1)=1,"",IF(AND(YEAR(MarSun1+4)=CalendarYear,MONTH(MarSun1+4)=3),MarSun1+4,""))</f>
        <v>44987</v>
      </c>
      <c r="G14" s="29">
        <f>IF(DAY(MarSun1)=1,"",IF(AND(YEAR(MarSun1+5)=CalendarYear,MONTH(MarSun1+5)=3),MarSun1+5,""))</f>
        <v>44988</v>
      </c>
      <c r="H14" s="29">
        <f>IF(DAY(MarSun1)=1,"",IF(AND(YEAR(MarSun1+6)=CalendarYear,MONTH(MarSun1+6)=3),MarSun1+6,""))</f>
        <v>44989</v>
      </c>
      <c r="I14" s="29">
        <f>IF(DAY(MarSun1)=1,IF(AND(YEAR(MarSun1)=CalendarYear,MONTH(MarSun1)=3),MarSun1,""),IF(AND(YEAR(MarSun1+7)=CalendarYear,MONTH(MarSun1+7)=3),MarSun1+7,""))</f>
        <v>44990</v>
      </c>
      <c r="J14" s="2"/>
      <c r="K14" s="33" t="str">
        <f>IF(DAY(AprSun1)=1,"",IF(AND(YEAR(AprSun1+1)=CalendarYear,MONTH(AprSun1+1)=4),AprSun1+1,""))</f>
        <v/>
      </c>
      <c r="L14" s="33" t="str">
        <f>IF(DAY(AprSun1)=1,"",IF(AND(YEAR(AprSun1+2)=CalendarYear,MONTH(AprSun1+2)=4),AprSun1+2,""))</f>
        <v/>
      </c>
      <c r="M14" s="33" t="str">
        <f>IF(DAY(AprSun1)=1,"",IF(AND(YEAR(AprSun1+3)=CalendarYear,MONTH(AprSun1+3)=4),AprSun1+3,""))</f>
        <v/>
      </c>
      <c r="N14" s="33" t="str">
        <f>IF(DAY(AprSun1)=1,"",IF(AND(YEAR(AprSun1+4)=CalendarYear,MONTH(AprSun1+4)=4),AprSun1+4,""))</f>
        <v/>
      </c>
      <c r="O14" s="29" t="str">
        <f>IF(DAY(AprSun1)=1,"",IF(AND(YEAR(AprSun1+5)=CalendarYear,MONTH(AprSun1+5)=4),AprSun1+5,""))</f>
        <v/>
      </c>
      <c r="P14" s="29">
        <f>IF(DAY(AprSun1)=1,"",IF(AND(YEAR(AprSun1+6)=CalendarYear,MONTH(AprSun1+6)=4),AprSun1+6,""))</f>
        <v>45017</v>
      </c>
      <c r="Q14" s="29">
        <f>IF(DAY(AprSun1)=1,IF(AND(YEAR(AprSun1)=CalendarYear,MONTH(AprSun1)=4),AprSun1,""),IF(AND(YEAR(AprSun1+7)=CalendarYear,MONTH(AprSun1+7)=4),AprSun1+7,""))</f>
        <v>45018</v>
      </c>
      <c r="S14" s="5"/>
      <c r="U14" s="44"/>
    </row>
    <row r="15" spans="2:41" ht="15" customHeight="1" x14ac:dyDescent="0.25">
      <c r="C15" s="29">
        <f>IF(DAY(MarSun1)=1,IF(AND(YEAR(MarSun1+1)=CalendarYear,MONTH(MarSun1+1)=3),MarSun1+1,""),IF(AND(YEAR(MarSun1+8)=CalendarYear,MONTH(MarSun1+8)=3),MarSun1+8,""))</f>
        <v>44991</v>
      </c>
      <c r="D15" s="29">
        <f>IF(DAY(MarSun1)=1,IF(AND(YEAR(MarSun1+2)=CalendarYear,MONTH(MarSun1+2)=3),MarSun1+2,""),IF(AND(YEAR(MarSun1+9)=CalendarYear,MONTH(MarSun1+9)=3),MarSun1+9,""))</f>
        <v>44992</v>
      </c>
      <c r="E15" s="29">
        <f>IF(DAY(MarSun1)=1,IF(AND(YEAR(MarSun1+3)=CalendarYear,MONTH(MarSun1+3)=3),MarSun1+3,""),IF(AND(YEAR(MarSun1+10)=CalendarYear,MONTH(MarSun1+10)=3),MarSun1+10,""))</f>
        <v>44993</v>
      </c>
      <c r="F15" s="29">
        <f>IF(DAY(MarSun1)=1,IF(AND(YEAR(MarSun1+4)=CalendarYear,MONTH(MarSun1+4)=3),MarSun1+4,""),IF(AND(YEAR(MarSun1+11)=CalendarYear,MONTH(MarSun1+11)=3),MarSun1+11,""))</f>
        <v>44994</v>
      </c>
      <c r="G15" s="29">
        <f>IF(DAY(MarSun1)=1,IF(AND(YEAR(MarSun1+5)=CalendarYear,MONTH(MarSun1+5)=3),MarSun1+5,""),IF(AND(YEAR(MarSun1+12)=CalendarYear,MONTH(MarSun1+12)=3),MarSun1+12,""))</f>
        <v>44995</v>
      </c>
      <c r="H15" s="29">
        <f>IF(DAY(MarSun1)=1,IF(AND(YEAR(MarSun1+6)=CalendarYear,MONTH(MarSun1+6)=3),MarSun1+6,""),IF(AND(YEAR(MarSun1+13)=CalendarYear,MONTH(MarSun1+13)=3),MarSun1+13,""))</f>
        <v>44996</v>
      </c>
      <c r="I15" s="29">
        <f>IF(DAY(MarSun1)=1,IF(AND(YEAR(MarSun1+7)=CalendarYear,MONTH(MarSun1+7)=3),MarSun1+7,""),IF(AND(YEAR(MarSun1+14)=CalendarYear,MONTH(MarSun1+14)=3),MarSun1+14,""))</f>
        <v>44997</v>
      </c>
      <c r="J15" s="3"/>
      <c r="K15" s="29">
        <f>IF(DAY(AprSun1)=1,IF(AND(YEAR(AprSun1+1)=CalendarYear,MONTH(AprSun1+1)=4),AprSun1+1,""),IF(AND(YEAR(AprSun1+8)=CalendarYear,MONTH(AprSun1+8)=4),AprSun1+8,""))</f>
        <v>45019</v>
      </c>
      <c r="L15" s="29">
        <f>IF(DAY(AprSun1)=1,IF(AND(YEAR(AprSun1+2)=CalendarYear,MONTH(AprSun1+2)=4),AprSun1+2,""),IF(AND(YEAR(AprSun1+9)=CalendarYear,MONTH(AprSun1+9)=4),AprSun1+9,""))</f>
        <v>45020</v>
      </c>
      <c r="M15" s="29">
        <f>IF(DAY(AprSun1)=1,IF(AND(YEAR(AprSun1+3)=CalendarYear,MONTH(AprSun1+3)=4),AprSun1+3,""),IF(AND(YEAR(AprSun1+10)=CalendarYear,MONTH(AprSun1+10)=4),AprSun1+10,""))</f>
        <v>45021</v>
      </c>
      <c r="N15" s="29">
        <f>IF(DAY(AprSun1)=1,IF(AND(YEAR(AprSun1+4)=CalendarYear,MONTH(AprSun1+4)=4),AprSun1+4,""),IF(AND(YEAR(AprSun1+11)=CalendarYear,MONTH(AprSun1+11)=4),AprSun1+11,""))</f>
        <v>45022</v>
      </c>
      <c r="O15" s="29">
        <f>IF(DAY(AprSun1)=1,IF(AND(YEAR(AprSun1+5)=CalendarYear,MONTH(AprSun1+5)=4),AprSun1+5,""),IF(AND(YEAR(AprSun1+12)=CalendarYear,MONTH(AprSun1+12)=4),AprSun1+12,""))</f>
        <v>45023</v>
      </c>
      <c r="P15" s="29">
        <f>IF(DAY(AprSun1)=1,IF(AND(YEAR(AprSun1+6)=CalendarYear,MONTH(AprSun1+6)=4),AprSun1+6,""),IF(AND(YEAR(AprSun1+13)=CalendarYear,MONTH(AprSun1+13)=4),AprSun1+13,""))</f>
        <v>45024</v>
      </c>
      <c r="Q15" s="29">
        <f>IF(DAY(AprSun1)=1,IF(AND(YEAR(AprSun1+7)=CalendarYear,MONTH(AprSun1+7)=4),AprSun1+7,""),IF(AND(YEAR(AprSun1+14)=CalendarYear,MONTH(AprSun1+14)=4),AprSun1+14,""))</f>
        <v>45025</v>
      </c>
      <c r="S15" s="5"/>
      <c r="U15" s="46" t="s">
        <v>33</v>
      </c>
    </row>
    <row r="16" spans="2:41" ht="15" customHeight="1" x14ac:dyDescent="0.2">
      <c r="C16" s="29">
        <f>IF(DAY(MarSun1)=1,IF(AND(YEAR(MarSun1+8)=CalendarYear,MONTH(MarSun1+8)=3),MarSun1+8,""),IF(AND(YEAR(MarSun1+15)=CalendarYear,MONTH(MarSun1+15)=3),MarSun1+15,""))</f>
        <v>44998</v>
      </c>
      <c r="D16" s="29">
        <f>IF(DAY(MarSun1)=1,IF(AND(YEAR(MarSun1+9)=CalendarYear,MONTH(MarSun1+9)=3),MarSun1+9,""),IF(AND(YEAR(MarSun1+16)=CalendarYear,MONTH(MarSun1+16)=3),MarSun1+16,""))</f>
        <v>44999</v>
      </c>
      <c r="E16" s="29">
        <f>IF(DAY(MarSun1)=1,IF(AND(YEAR(MarSun1+10)=CalendarYear,MONTH(MarSun1+10)=3),MarSun1+10,""),IF(AND(YEAR(MarSun1+17)=CalendarYear,MONTH(MarSun1+17)=3),MarSun1+17,""))</f>
        <v>45000</v>
      </c>
      <c r="F16" s="35">
        <f>IF(DAY(MarSun1)=1,IF(AND(YEAR(MarSun1+11)=CalendarYear,MONTH(MarSun1+11)=3),MarSun1+11,""),IF(AND(YEAR(MarSun1+18)=CalendarYear,MONTH(MarSun1+18)=3),MarSun1+18,""))</f>
        <v>45001</v>
      </c>
      <c r="G16" s="29">
        <f>IF(DAY(MarSun1)=1,IF(AND(YEAR(MarSun1+12)=CalendarYear,MONTH(MarSun1+12)=3),MarSun1+12,""),IF(AND(YEAR(MarSun1+19)=CalendarYear,MONTH(MarSun1+19)=3),MarSun1+19,""))</f>
        <v>45002</v>
      </c>
      <c r="H16" s="29">
        <f>IF(DAY(MarSun1)=1,IF(AND(YEAR(MarSun1+13)=CalendarYear,MONTH(MarSun1+13)=3),MarSun1+13,""),IF(AND(YEAR(MarSun1+20)=CalendarYear,MONTH(MarSun1+20)=3),MarSun1+20,""))</f>
        <v>45003</v>
      </c>
      <c r="I16" s="29">
        <f>IF(DAY(MarSun1)=1,IF(AND(YEAR(MarSun1+14)=CalendarYear,MONTH(MarSun1+14)=3),MarSun1+14,""),IF(AND(YEAR(MarSun1+21)=CalendarYear,MONTH(MarSun1+21)=3),MarSun1+21,""))</f>
        <v>45004</v>
      </c>
      <c r="J16" s="3"/>
      <c r="K16" s="29">
        <f>IF(DAY(AprSun1)=1,IF(AND(YEAR(AprSun1+8)=CalendarYear,MONTH(AprSun1+8)=4),AprSun1+8,""),IF(AND(YEAR(AprSun1+15)=CalendarYear,MONTH(AprSun1+15)=4),AprSun1+15,""))</f>
        <v>45026</v>
      </c>
      <c r="L16" s="29">
        <f>IF(DAY(AprSun1)=1,IF(AND(YEAR(AprSun1+9)=CalendarYear,MONTH(AprSun1+9)=4),AprSun1+9,""),IF(AND(YEAR(AprSun1+16)=CalendarYear,MONTH(AprSun1+16)=4),AprSun1+16,""))</f>
        <v>45027</v>
      </c>
      <c r="M16" s="29">
        <f>IF(DAY(AprSun1)=1,IF(AND(YEAR(AprSun1+10)=CalendarYear,MONTH(AprSun1+10)=4),AprSun1+10,""),IF(AND(YEAR(AprSun1+17)=CalendarYear,MONTH(AprSun1+17)=4),AprSun1+17,""))</f>
        <v>45028</v>
      </c>
      <c r="N16" s="29">
        <f>IF(DAY(AprSun1)=1,IF(AND(YEAR(AprSun1+11)=CalendarYear,MONTH(AprSun1+11)=4),AprSun1+11,""),IF(AND(YEAR(AprSun1+18)=CalendarYear,MONTH(AprSun1+18)=4),AprSun1+18,""))</f>
        <v>45029</v>
      </c>
      <c r="O16" s="29">
        <f>IF(DAY(AprSun1)=1,IF(AND(YEAR(AprSun1+12)=CalendarYear,MONTH(AprSun1+12)=4),AprSun1+12,""),IF(AND(YEAR(AprSun1+19)=CalendarYear,MONTH(AprSun1+19)=4),AprSun1+19,""))</f>
        <v>45030</v>
      </c>
      <c r="P16" s="29">
        <f>IF(DAY(AprSun1)=1,IF(AND(YEAR(AprSun1+13)=CalendarYear,MONTH(AprSun1+13)=4),AprSun1+13,""),IF(AND(YEAR(AprSun1+20)=CalendarYear,MONTH(AprSun1+20)=4),AprSun1+20,""))</f>
        <v>45031</v>
      </c>
      <c r="Q16" s="29">
        <f>IF(DAY(AprSun1)=1,IF(AND(YEAR(AprSun1+14)=CalendarYear,MONTH(AprSun1+14)=4),AprSun1+14,""),IF(AND(YEAR(AprSun1+21)=CalendarYear,MONTH(AprSun1+21)=4),AprSun1+21,""))</f>
        <v>45032</v>
      </c>
      <c r="S16" s="5"/>
      <c r="U16" s="47" t="s">
        <v>32</v>
      </c>
    </row>
    <row r="17" spans="3:41" ht="15" customHeight="1" x14ac:dyDescent="0.25">
      <c r="C17" s="29">
        <f>IF(DAY(MarSun1)=1,IF(AND(YEAR(MarSun1+15)=CalendarYear,MONTH(MarSun1+15)=3),MarSun1+15,""),IF(AND(YEAR(MarSun1+22)=CalendarYear,MONTH(MarSun1+22)=3),MarSun1+22,""))</f>
        <v>45005</v>
      </c>
      <c r="D17" s="29">
        <f>IF(DAY(MarSun1)=1,IF(AND(YEAR(MarSun1+16)=CalendarYear,MONTH(MarSun1+16)=3),MarSun1+16,""),IF(AND(YEAR(MarSun1+23)=CalendarYear,MONTH(MarSun1+23)=3),MarSun1+23,""))</f>
        <v>45006</v>
      </c>
      <c r="E17" s="29">
        <f>IF(DAY(MarSun1)=1,IF(AND(YEAR(MarSun1+17)=CalendarYear,MONTH(MarSun1+17)=3),MarSun1+17,""),IF(AND(YEAR(MarSun1+24)=CalendarYear,MONTH(MarSun1+24)=3),MarSun1+24,""))</f>
        <v>45007</v>
      </c>
      <c r="F17" s="29">
        <f>IF(DAY(MarSun1)=1,IF(AND(YEAR(MarSun1+18)=CalendarYear,MONTH(MarSun1+18)=3),MarSun1+18,""),IF(AND(YEAR(MarSun1+25)=CalendarYear,MONTH(MarSun1+25)=3),MarSun1+25,""))</f>
        <v>45008</v>
      </c>
      <c r="G17" s="29">
        <f>IF(DAY(MarSun1)=1,IF(AND(YEAR(MarSun1+19)=CalendarYear,MONTH(MarSun1+19)=3),MarSun1+19,""),IF(AND(YEAR(MarSun1+26)=CalendarYear,MONTH(MarSun1+26)=3),MarSun1+26,""))</f>
        <v>45009</v>
      </c>
      <c r="H17" s="29">
        <f>IF(DAY(MarSun1)=1,IF(AND(YEAR(MarSun1+20)=CalendarYear,MONTH(MarSun1+20)=3),MarSun1+20,""),IF(AND(YEAR(MarSun1+27)=CalendarYear,MONTH(MarSun1+27)=3),MarSun1+27,""))</f>
        <v>45010</v>
      </c>
      <c r="I17" s="29">
        <f>IF(DAY(MarSun1)=1,IF(AND(YEAR(MarSun1+21)=CalendarYear,MONTH(MarSun1+21)=3),MarSun1+21,""),IF(AND(YEAR(MarSun1+28)=CalendarYear,MONTH(MarSun1+28)=3),MarSun1+28,""))</f>
        <v>45011</v>
      </c>
      <c r="J17" s="3"/>
      <c r="K17" s="29">
        <f>IF(DAY(AprSun1)=1,IF(AND(YEAR(AprSun1+15)=CalendarYear,MONTH(AprSun1+15)=4),AprSun1+15,""),IF(AND(YEAR(AprSun1+22)=CalendarYear,MONTH(AprSun1+22)=4),AprSun1+22,""))</f>
        <v>45033</v>
      </c>
      <c r="L17" s="29">
        <f>IF(DAY(AprSun1)=1,IF(AND(YEAR(AprSun1+16)=CalendarYear,MONTH(AprSun1+16)=4),AprSun1+16,""),IF(AND(YEAR(AprSun1+23)=CalendarYear,MONTH(AprSun1+23)=4),AprSun1+23,""))</f>
        <v>45034</v>
      </c>
      <c r="M17" s="29">
        <f>IF(DAY(AprSun1)=1,IF(AND(YEAR(AprSun1+17)=CalendarYear,MONTH(AprSun1+17)=4),AprSun1+17,""),IF(AND(YEAR(AprSun1+24)=CalendarYear,MONTH(AprSun1+24)=4),AprSun1+24,""))</f>
        <v>45035</v>
      </c>
      <c r="N17" s="29">
        <f>IF(DAY(AprSun1)=1,IF(AND(YEAR(AprSun1+18)=CalendarYear,MONTH(AprSun1+18)=4),AprSun1+18,""),IF(AND(YEAR(AprSun1+25)=CalendarYear,MONTH(AprSun1+25)=4),AprSun1+25,""))</f>
        <v>45036</v>
      </c>
      <c r="O17" s="29">
        <f>IF(DAY(AprSun1)=1,IF(AND(YEAR(AprSun1+19)=CalendarYear,MONTH(AprSun1+19)=4),AprSun1+19,""),IF(AND(YEAR(AprSun1+26)=CalendarYear,MONTH(AprSun1+26)=4),AprSun1+26,""))</f>
        <v>45037</v>
      </c>
      <c r="P17" s="29">
        <f>IF(DAY(AprSun1)=1,IF(AND(YEAR(AprSun1+20)=CalendarYear,MONTH(AprSun1+20)=4),AprSun1+20,""),IF(AND(YEAR(AprSun1+27)=CalendarYear,MONTH(AprSun1+27)=4),AprSun1+27,""))</f>
        <v>45038</v>
      </c>
      <c r="Q17" s="29">
        <f>IF(DAY(AprSun1)=1,IF(AND(YEAR(AprSun1+21)=CalendarYear,MONTH(AprSun1+21)=4),AprSun1+21,""),IF(AND(YEAR(AprSun1+28)=CalendarYear,MONTH(AprSun1+28)=4),AprSun1+28,""))</f>
        <v>45039</v>
      </c>
      <c r="S17" s="5"/>
      <c r="U17" s="18" t="s">
        <v>21</v>
      </c>
    </row>
    <row r="18" spans="3:41" ht="15" customHeight="1" x14ac:dyDescent="0.25">
      <c r="C18" s="29">
        <f>IF(DAY(MarSun1)=1,IF(AND(YEAR(MarSun1+22)=CalendarYear,MONTH(MarSun1+22)=3),MarSun1+22,""),IF(AND(YEAR(MarSun1+29)=CalendarYear,MONTH(MarSun1+29)=3),MarSun1+29,""))</f>
        <v>45012</v>
      </c>
      <c r="D18" s="29">
        <f>IF(DAY(MarSun1)=1,IF(AND(YEAR(MarSun1+23)=CalendarYear,MONTH(MarSun1+23)=3),MarSun1+23,""),IF(AND(YEAR(MarSun1+30)=CalendarYear,MONTH(MarSun1+30)=3),MarSun1+30,""))</f>
        <v>45013</v>
      </c>
      <c r="E18" s="29">
        <f>IF(DAY(MarSun1)=1,IF(AND(YEAR(MarSun1+24)=CalendarYear,MONTH(MarSun1+24)=3),MarSun1+24,""),IF(AND(YEAR(MarSun1+31)=CalendarYear,MONTH(MarSun1+31)=3),MarSun1+31,""))</f>
        <v>45014</v>
      </c>
      <c r="F18" s="29">
        <f>IF(DAY(MarSun1)=1,IF(AND(YEAR(MarSun1+25)=CalendarYear,MONTH(MarSun1+25)=3),MarSun1+25,""),IF(AND(YEAR(MarSun1+32)=CalendarYear,MONTH(MarSun1+32)=3),MarSun1+32,""))</f>
        <v>45015</v>
      </c>
      <c r="G18" s="29">
        <f>IF(DAY(MarSun1)=1,IF(AND(YEAR(MarSun1+26)=CalendarYear,MONTH(MarSun1+26)=3),MarSun1+26,""),IF(AND(YEAR(MarSun1+33)=CalendarYear,MONTH(MarSun1+33)=3),MarSun1+33,""))</f>
        <v>45016</v>
      </c>
      <c r="H18" s="33" t="str">
        <f>IF(DAY(MarSun1)=1,IF(AND(YEAR(MarSun1+27)=CalendarYear,MONTH(MarSun1+27)=3),MarSun1+27,""),IF(AND(YEAR(MarSun1+34)=CalendarYear,MONTH(MarSun1+34)=3),MarSun1+34,""))</f>
        <v/>
      </c>
      <c r="I18" s="33" t="str">
        <f>IF(DAY(MarSun1)=1,IF(AND(YEAR(MarSun1+28)=CalendarYear,MONTH(MarSun1+28)=3),MarSun1+28,""),IF(AND(YEAR(MarSun1+35)=CalendarYear,MONTH(MarSun1+35)=3),MarSun1+35,""))</f>
        <v/>
      </c>
      <c r="J18" s="3"/>
      <c r="K18" s="29">
        <f>IF(DAY(AprSun1)=1,IF(AND(YEAR(AprSun1+22)=CalendarYear,MONTH(AprSun1+22)=4),AprSun1+22,""),IF(AND(YEAR(AprSun1+29)=CalendarYear,MONTH(AprSun1+29)=4),AprSun1+29,""))</f>
        <v>45040</v>
      </c>
      <c r="L18" s="29">
        <f>IF(DAY(AprSun1)=1,IF(AND(YEAR(AprSun1+23)=CalendarYear,MONTH(AprSun1+23)=4),AprSun1+23,""),IF(AND(YEAR(AprSun1+30)=CalendarYear,MONTH(AprSun1+30)=4),AprSun1+30,""))</f>
        <v>45041</v>
      </c>
      <c r="M18" s="29">
        <f>IF(DAY(AprSun1)=1,IF(AND(YEAR(AprSun1+24)=CalendarYear,MONTH(AprSun1+24)=4),AprSun1+24,""),IF(AND(YEAR(AprSun1+31)=CalendarYear,MONTH(AprSun1+31)=4),AprSun1+31,""))</f>
        <v>45042</v>
      </c>
      <c r="N18" s="29">
        <f>IF(DAY(AprSun1)=1,IF(AND(YEAR(AprSun1+25)=CalendarYear,MONTH(AprSun1+25)=4),AprSun1+25,""),IF(AND(YEAR(AprSun1+32)=CalendarYear,MONTH(AprSun1+32)=4),AprSun1+32,""))</f>
        <v>45043</v>
      </c>
      <c r="O18" s="29">
        <f>IF(DAY(AprSun1)=1,IF(AND(YEAR(AprSun1+26)=CalendarYear,MONTH(AprSun1+26)=4),AprSun1+26,""),IF(AND(YEAR(AprSun1+33)=CalendarYear,MONTH(AprSun1+33)=4),AprSun1+33,""))</f>
        <v>45044</v>
      </c>
      <c r="P18" s="29">
        <f>IF(DAY(AprSun1)=1,IF(AND(YEAR(AprSun1+27)=CalendarYear,MONTH(AprSun1+27)=4),AprSun1+27,""),IF(AND(YEAR(AprSun1+34)=CalendarYear,MONTH(AprSun1+34)=4),AprSun1+34,""))</f>
        <v>45045</v>
      </c>
      <c r="Q18" s="33">
        <f>IF(DAY(AprSun1)=1,IF(AND(YEAR(AprSun1+28)=CalendarYear,MONTH(AprSun1+28)=4),AprSun1+28,""),IF(AND(YEAR(AprSun1+35)=CalendarYear,MONTH(AprSun1+35)=4),AprSun1+35,""))</f>
        <v>45046</v>
      </c>
      <c r="S18" s="5"/>
      <c r="U18" s="20" t="s">
        <v>22</v>
      </c>
    </row>
    <row r="19" spans="3:41" ht="15" customHeight="1" x14ac:dyDescent="0.2">
      <c r="C19" s="33" t="str">
        <f>IF(DAY(MarSun1)=1,IF(AND(YEAR(MarSun1+29)=CalendarYear,MONTH(MarSun1+29)=3),MarSun1+29,""),IF(AND(YEAR(MarSun1+36)=CalendarYear,MONTH(MarSun1+36)=3),MarSun1+36,""))</f>
        <v/>
      </c>
      <c r="D19" s="33" t="str">
        <f>IF(DAY(MarSun1)=1,IF(AND(YEAR(MarSun1+30)=CalendarYear,MONTH(MarSun1+30)=3),MarSun1+30,""),IF(AND(YEAR(MarSun1+37)=CalendarYear,MONTH(MarSun1+37)=3),MarSun1+37,""))</f>
        <v/>
      </c>
      <c r="E19" s="33" t="str">
        <f>IF(DAY(MarSun1)=1,IF(AND(YEAR(MarSun1+31)=CalendarYear,MONTH(MarSun1+31)=3),MarSun1+31,""),IF(AND(YEAR(MarSun1+38)=CalendarYear,MONTH(MarSun1+38)=3),MarSun1+38,""))</f>
        <v/>
      </c>
      <c r="F19" s="33" t="str">
        <f>IF(DAY(MarSun1)=1,IF(AND(YEAR(MarSun1+32)=CalendarYear,MONTH(MarSun1+32)=3),MarSun1+32,""),IF(AND(YEAR(MarSun1+39)=CalendarYear,MONTH(MarSun1+39)=3),MarSun1+39,""))</f>
        <v/>
      </c>
      <c r="G19" s="33" t="str">
        <f>IF(DAY(MarSun1)=1,IF(AND(YEAR(MarSun1+33)=CalendarYear,MONTH(MarSun1+33)=3),MarSun1+33,""),IF(AND(YEAR(MarSun1+40)=CalendarYear,MONTH(MarSun1+40)=3),MarSun1+40,""))</f>
        <v/>
      </c>
      <c r="H19" s="33" t="str">
        <f>IF(DAY(MarSun1)=1,IF(AND(YEAR(MarSun1+34)=CalendarYear,MONTH(MarSun1+34)=3),MarSun1+34,""),IF(AND(YEAR(MarSun1+41)=CalendarYear,MONTH(MarSun1+41)=3),MarSun1+41,""))</f>
        <v/>
      </c>
      <c r="I19" s="33" t="str">
        <f>IF(DAY(MarSun1)=1,IF(AND(YEAR(MarSun1+35)=CalendarYear,MONTH(MarSun1+35)=3),MarSun1+35,""),IF(AND(YEAR(MarSun1+42)=CalendarYear,MONTH(MarSun1+42)=3),MarSun1+42,""))</f>
        <v/>
      </c>
      <c r="J19" s="3"/>
      <c r="K19" s="3" t="str">
        <f>IF(DAY(AprSun1)=1,IF(AND(YEAR(AprSun1+29)=CalendarYear,MONTH(AprSun1+29)=4),AprSun1+29,""),IF(AND(YEAR(AprSun1+36)=CalendarYear,MONTH(AprSun1+36)=4),AprSun1+36,""))</f>
        <v/>
      </c>
      <c r="L19" s="3" t="str">
        <f>IF(DAY(AprSun1)=1,IF(AND(YEAR(AprSun1+30)=CalendarYear,MONTH(AprSun1+30)=4),AprSun1+30,""),IF(AND(YEAR(AprSun1+37)=CalendarYear,MONTH(AprSun1+37)=4),AprSun1+37,""))</f>
        <v/>
      </c>
      <c r="M19" s="3" t="str">
        <f>IF(DAY(AprSun1)=1,IF(AND(YEAR(AprSun1+31)=CalendarYear,MONTH(AprSun1+31)=4),AprSun1+31,""),IF(AND(YEAR(AprSun1+38)=CalendarYear,MONTH(AprSun1+38)=4),AprSun1+38,""))</f>
        <v/>
      </c>
      <c r="N19" s="3" t="str">
        <f>IF(DAY(AprSun1)=1,IF(AND(YEAR(AprSun1+32)=CalendarYear,MONTH(AprSun1+32)=4),AprSun1+32,""),IF(AND(YEAR(AprSun1+39)=CalendarYear,MONTH(AprSun1+39)=4),AprSun1+39,""))</f>
        <v/>
      </c>
      <c r="O19" s="3" t="str">
        <f>IF(DAY(AprSun1)=1,IF(AND(YEAR(AprSun1+33)=CalendarYear,MONTH(AprSun1+33)=4),AprSun1+33,""),IF(AND(YEAR(AprSun1+40)=CalendarYear,MONTH(AprSun1+40)=4),AprSun1+40,""))</f>
        <v/>
      </c>
      <c r="P19" s="3" t="str">
        <f>IF(DAY(AprSun1)=1,IF(AND(YEAR(AprSun1+34)=CalendarYear,MONTH(AprSun1+34)=4),AprSun1+34,""),IF(AND(YEAR(AprSun1+41)=CalendarYear,MONTH(AprSun1+41)=4),AprSun1+41,""))</f>
        <v/>
      </c>
      <c r="Q19" s="3" t="str">
        <f>IF(DAY(AprSun1)=1,IF(AND(YEAR(AprSun1+35)=CalendarYear,MONTH(AprSun1+35)=4),AprSun1+35,""),IF(AND(YEAR(AprSun1+42)=CalendarYear,MONTH(AprSun1+42)=4),AprSun1+42,""))</f>
        <v/>
      </c>
      <c r="S19" s="5"/>
      <c r="U19" s="41"/>
    </row>
    <row r="20" spans="3:41" ht="15" customHeight="1" x14ac:dyDescent="0.2">
      <c r="J20" s="3"/>
      <c r="S20" s="5"/>
      <c r="U20" s="54" t="s">
        <v>28</v>
      </c>
    </row>
    <row r="21" spans="3:41" ht="15" customHeight="1" x14ac:dyDescent="0.25">
      <c r="C21" s="30" t="s">
        <v>12</v>
      </c>
      <c r="D21" s="4"/>
      <c r="E21" s="4"/>
      <c r="F21" s="4"/>
      <c r="G21" s="4"/>
      <c r="H21" s="4"/>
      <c r="I21" s="4"/>
      <c r="J21" s="3"/>
      <c r="K21" s="30" t="s">
        <v>13</v>
      </c>
      <c r="L21" s="4"/>
      <c r="M21" s="4"/>
      <c r="N21" s="4"/>
      <c r="O21" s="4"/>
      <c r="P21" s="4"/>
      <c r="Q21" s="4"/>
      <c r="S21" s="7"/>
      <c r="U21" s="54"/>
      <c r="V21" s="1"/>
      <c r="W21" s="1"/>
      <c r="X21" s="1"/>
      <c r="Y21" s="1"/>
      <c r="AA21" s="1"/>
      <c r="AB21" s="1"/>
      <c r="AC21" s="1"/>
      <c r="AD21" s="1"/>
      <c r="AE21" s="1"/>
      <c r="AF21" s="1"/>
      <c r="AG21" s="1"/>
      <c r="AI21" s="1"/>
      <c r="AJ21" s="1"/>
      <c r="AK21" s="1"/>
      <c r="AL21" s="1"/>
      <c r="AM21" s="1"/>
      <c r="AN21" s="1"/>
      <c r="AO21" s="1"/>
    </row>
    <row r="22" spans="3:41" ht="15" customHeight="1" x14ac:dyDescent="0.25">
      <c r="C22" s="27" t="s">
        <v>1</v>
      </c>
      <c r="D22" s="27" t="s">
        <v>10</v>
      </c>
      <c r="E22" s="27" t="s">
        <v>1</v>
      </c>
      <c r="F22" s="27" t="s">
        <v>10</v>
      </c>
      <c r="G22" s="27" t="s">
        <v>2</v>
      </c>
      <c r="H22" s="27" t="s">
        <v>0</v>
      </c>
      <c r="I22" s="27" t="s">
        <v>0</v>
      </c>
      <c r="J22" s="1"/>
      <c r="K22" s="27" t="s">
        <v>1</v>
      </c>
      <c r="L22" s="27" t="s">
        <v>10</v>
      </c>
      <c r="M22" s="27" t="s">
        <v>1</v>
      </c>
      <c r="N22" s="27" t="s">
        <v>10</v>
      </c>
      <c r="O22" s="27" t="s">
        <v>2</v>
      </c>
      <c r="P22" s="27" t="s">
        <v>0</v>
      </c>
      <c r="Q22" s="27" t="s">
        <v>0</v>
      </c>
      <c r="S22" s="5"/>
      <c r="U22" s="40"/>
    </row>
    <row r="23" spans="3:41" ht="15" customHeight="1" x14ac:dyDescent="0.25">
      <c r="C23" s="29">
        <f>IF(DAY(MaySun1)=1,"",IF(AND(YEAR(MaySun1+1)=CalendarYear,MONTH(MaySun1+1)=5),MaySun1+1,""))</f>
        <v>45047</v>
      </c>
      <c r="D23" s="29">
        <f>IF(DAY(MaySun1)=1,"",IF(AND(YEAR(MaySun1+2)=CalendarYear,MONTH(MaySun1+2)=5),MaySun1+2,""))</f>
        <v>45048</v>
      </c>
      <c r="E23" s="29">
        <f>IF(DAY(MaySun1)=1,"",IF(AND(YEAR(MaySun1+3)=CalendarYear,MONTH(MaySun1+3)=5),MaySun1+3,""))</f>
        <v>45049</v>
      </c>
      <c r="F23" s="34">
        <f>IF(DAY(MaySun1)=1,"",IF(AND(YEAR(MaySun1+4)=CalendarYear,MONTH(MaySun1+4)=5),MaySun1+4,""))</f>
        <v>45050</v>
      </c>
      <c r="G23" s="29">
        <f>IF(DAY(MaySun1)=1,"",IF(AND(YEAR(MaySun1+5)=CalendarYear,MONTH(MaySun1+5)=5),MaySun1+5,""))</f>
        <v>45051</v>
      </c>
      <c r="H23" s="29">
        <f>IF(DAY(MaySun1)=1,"",IF(AND(YEAR(MaySun1+6)=CalendarYear,MONTH(MaySun1+6)=5),MaySun1+6,""))</f>
        <v>45052</v>
      </c>
      <c r="I23" s="29">
        <f>IF(DAY(MaySun1)=1,IF(AND(YEAR(MaySun1)=CalendarYear,MONTH(MaySun1)=5),MaySun1,""),IF(AND(YEAR(MaySun1+7)=CalendarYear,MONTH(MaySun1+7)=5),MaySun1+7,""))</f>
        <v>45053</v>
      </c>
      <c r="J23" s="4"/>
      <c r="K23" s="33" t="str">
        <f>IF(DAY(JunSun1)=1,"",IF(AND(YEAR(JunSun1+1)=CalendarYear,MONTH(JunSun1+1)=6),JunSun1+1,""))</f>
        <v/>
      </c>
      <c r="L23" s="33" t="str">
        <f>IF(DAY(JunSun1)=1,"",IF(AND(YEAR(JunSun1+2)=CalendarYear,MONTH(JunSun1+2)=6),JunSun1+2,""))</f>
        <v/>
      </c>
      <c r="M23" s="55" t="str">
        <f>IF(DAY(JunSun1)=1,"",IF(AND(YEAR(JunSun1+3)=CalendarYear,MONTH(JunSun1+3)=6),JunSun1+3,""))</f>
        <v/>
      </c>
      <c r="N23" s="34">
        <f>IF(DAY(JunSun1)=1,"",IF(AND(YEAR(JunSun1+4)=CalendarYear,MONTH(JunSun1+4)=6),JunSun1+4,""))</f>
        <v>45078</v>
      </c>
      <c r="O23" s="29">
        <f>IF(DAY(JunSun1)=1,"",IF(AND(YEAR(JunSun1+5)=CalendarYear,MONTH(JunSun1+5)=6),JunSun1+5,""))</f>
        <v>45079</v>
      </c>
      <c r="P23" s="49">
        <f>IF(DAY(JunSun1)=1,"",IF(AND(YEAR(JunSun1+6)=CalendarYear,MONTH(JunSun1+6)=6),JunSun1+6,""))</f>
        <v>45080</v>
      </c>
      <c r="Q23" s="29">
        <f>IF(DAY(JunSun1)=1,IF(AND(YEAR(JunSun1)=CalendarYear,MONTH(JunSun1)=6),JunSun1,""),IF(AND(YEAR(JunSun1+7)=CalendarYear,MONTH(JunSun1+7)=6),JunSun1+7,""))</f>
        <v>45081</v>
      </c>
      <c r="S23" s="5"/>
      <c r="U23" s="26"/>
    </row>
    <row r="24" spans="3:41" ht="15" customHeight="1" x14ac:dyDescent="0.2">
      <c r="C24" s="29">
        <f>IF(DAY(MaySun1)=1,IF(AND(YEAR(MaySun1+1)=CalendarYear,MONTH(MaySun1+1)=5),MaySun1+1,""),IF(AND(YEAR(MaySun1+8)=CalendarYear,MONTH(MaySun1+8)=5),MaySun1+8,""))</f>
        <v>45054</v>
      </c>
      <c r="D24" s="29">
        <f>IF(DAY(MaySun1)=1,IF(AND(YEAR(MaySun1+2)=CalendarYear,MONTH(MaySun1+2)=5),MaySun1+2,""),IF(AND(YEAR(MaySun1+9)=CalendarYear,MONTH(MaySun1+9)=5),MaySun1+9,""))</f>
        <v>45055</v>
      </c>
      <c r="E24" s="29">
        <f>IF(DAY(MaySun1)=1,IF(AND(YEAR(MaySun1+3)=CalendarYear,MONTH(MaySun1+3)=5),MaySun1+3,""),IF(AND(YEAR(MaySun1+10)=CalendarYear,MONTH(MaySun1+10)=5),MaySun1+10,""))</f>
        <v>45056</v>
      </c>
      <c r="F24" s="29">
        <f>IF(DAY(MaySun1)=1,IF(AND(YEAR(MaySun1+4)=CalendarYear,MONTH(MaySun1+4)=5),MaySun1+4,""),IF(AND(YEAR(MaySun1+11)=CalendarYear,MONTH(MaySun1+11)=5),MaySun1+11,""))</f>
        <v>45057</v>
      </c>
      <c r="G24" s="29">
        <f>IF(DAY(MaySun1)=1,IF(AND(YEAR(MaySun1+5)=CalendarYear,MONTH(MaySun1+5)=5),MaySun1+5,""),IF(AND(YEAR(MaySun1+12)=CalendarYear,MONTH(MaySun1+12)=5),MaySun1+12,""))</f>
        <v>45058</v>
      </c>
      <c r="H24" s="29">
        <f>IF(DAY(MaySun1)=1,IF(AND(YEAR(MaySun1+6)=CalendarYear,MONTH(MaySun1+6)=5),MaySun1+6,""),IF(AND(YEAR(MaySun1+13)=CalendarYear,MONTH(MaySun1+13)=5),MaySun1+13,""))</f>
        <v>45059</v>
      </c>
      <c r="I24" s="29">
        <f>IF(DAY(MaySun1)=1,IF(AND(YEAR(MaySun1+7)=CalendarYear,MONTH(MaySun1+7)=5),MaySun1+7,""),IF(AND(YEAR(MaySun1+14)=CalendarYear,MONTH(MaySun1+14)=5),MaySun1+14,""))</f>
        <v>45060</v>
      </c>
      <c r="J24" s="2"/>
      <c r="K24" s="29">
        <f>IF(DAY(JunSun1)=1,IF(AND(YEAR(JunSun1+1)=CalendarYear,MONTH(JunSun1+1)=6),JunSun1+1,""),IF(AND(YEAR(JunSun1+8)=CalendarYear,MONTH(JunSun1+8)=6),JunSun1+8,""))</f>
        <v>45082</v>
      </c>
      <c r="L24" s="29">
        <f>IF(DAY(JunSun1)=1,IF(AND(YEAR(JunSun1+2)=CalendarYear,MONTH(JunSun1+2)=6),JunSun1+2,""),IF(AND(YEAR(JunSun1+9)=CalendarYear,MONTH(JunSun1+9)=6),JunSun1+9,""))</f>
        <v>45083</v>
      </c>
      <c r="M24" s="29">
        <f>IF(DAY(JunSun1)=1,IF(AND(YEAR(JunSun1+3)=CalendarYear,MONTH(JunSun1+3)=6),JunSun1+3,""),IF(AND(YEAR(JunSun1+10)=CalendarYear,MONTH(JunSun1+10)=6),JunSun1+10,""))</f>
        <v>45084</v>
      </c>
      <c r="N24" s="29">
        <f>IF(DAY(JunSun1)=1,IF(AND(YEAR(JunSun1+4)=CalendarYear,MONTH(JunSun1+4)=6),JunSun1+4,""),IF(AND(YEAR(JunSun1+11)=CalendarYear,MONTH(JunSun1+11)=6),JunSun1+11,""))</f>
        <v>45085</v>
      </c>
      <c r="O24" s="29">
        <f>IF(DAY(JunSun1)=1,IF(AND(YEAR(JunSun1+5)=CalendarYear,MONTH(JunSun1+5)=6),JunSun1+5,""),IF(AND(YEAR(JunSun1+12)=CalendarYear,MONTH(JunSun1+12)=6),JunSun1+12,""))</f>
        <v>45086</v>
      </c>
      <c r="P24" s="29">
        <f>IF(DAY(JunSun1)=1,IF(AND(YEAR(JunSun1+6)=CalendarYear,MONTH(JunSun1+6)=6),JunSun1+6,""),IF(AND(YEAR(JunSun1+13)=CalendarYear,MONTH(JunSun1+13)=6),JunSun1+13,""))</f>
        <v>45087</v>
      </c>
      <c r="Q24" s="29">
        <f>IF(DAY(JunSun1)=1,IF(AND(YEAR(JunSun1+7)=CalendarYear,MONTH(JunSun1+7)=6),JunSun1+7,""),IF(AND(YEAR(JunSun1+14)=CalendarYear,MONTH(JunSun1+14)=6),JunSun1+14,""))</f>
        <v>45088</v>
      </c>
      <c r="S24" s="5"/>
      <c r="U24" s="11"/>
    </row>
    <row r="25" spans="3:41" ht="15" customHeight="1" x14ac:dyDescent="0.25">
      <c r="C25" s="29">
        <f>IF(DAY(MaySun1)=1,IF(AND(YEAR(MaySun1+8)=CalendarYear,MONTH(MaySun1+8)=5),MaySun1+8,""),IF(AND(YEAR(MaySun1+15)=CalendarYear,MONTH(MaySun1+15)=5),MaySun1+15,""))</f>
        <v>45061</v>
      </c>
      <c r="D25" s="29">
        <f>IF(DAY(MaySun1)=1,IF(AND(YEAR(MaySun1+9)=CalendarYear,MONTH(MaySun1+9)=5),MaySun1+9,""),IF(AND(YEAR(MaySun1+16)=CalendarYear,MONTH(MaySun1+16)=5),MaySun1+16,""))</f>
        <v>45062</v>
      </c>
      <c r="E25" s="29">
        <f>IF(DAY(MaySun1)=1,IF(AND(YEAR(MaySun1+10)=CalendarYear,MONTH(MaySun1+10)=5),MaySun1+10,""),IF(AND(YEAR(MaySun1+17)=CalendarYear,MONTH(MaySun1+17)=5),MaySun1+17,""))</f>
        <v>45063</v>
      </c>
      <c r="F25" s="29">
        <f>IF(DAY(MaySun1)=1,IF(AND(YEAR(MaySun1+11)=CalendarYear,MONTH(MaySun1+11)=5),MaySun1+11,""),IF(AND(YEAR(MaySun1+18)=CalendarYear,MONTH(MaySun1+18)=5),MaySun1+18,""))</f>
        <v>45064</v>
      </c>
      <c r="G25" s="29">
        <f>IF(DAY(MaySun1)=1,IF(AND(YEAR(MaySun1+12)=CalendarYear,MONTH(MaySun1+12)=5),MaySun1+12,""),IF(AND(YEAR(MaySun1+19)=CalendarYear,MONTH(MaySun1+19)=5),MaySun1+19,""))</f>
        <v>45065</v>
      </c>
      <c r="H25" s="29">
        <f>IF(DAY(MaySun1)=1,IF(AND(YEAR(MaySun1+13)=CalendarYear,MONTH(MaySun1+13)=5),MaySun1+13,""),IF(AND(YEAR(MaySun1+20)=CalendarYear,MONTH(MaySun1+20)=5),MaySun1+20,""))</f>
        <v>45066</v>
      </c>
      <c r="I25" s="36">
        <f>IF(DAY(MaySun1)=1,IF(AND(YEAR(MaySun1+14)=CalendarYear,MONTH(MaySun1+14)=5),MaySun1+14,""),IF(AND(YEAR(MaySun1+21)=CalendarYear,MONTH(MaySun1+21)=5),MaySun1+21,""))</f>
        <v>45067</v>
      </c>
      <c r="J25" s="3"/>
      <c r="K25" s="29">
        <f>IF(DAY(JunSun1)=1,IF(AND(YEAR(JunSun1+8)=CalendarYear,MONTH(JunSun1+8)=6),JunSun1+8,""),IF(AND(YEAR(JunSun1+15)=CalendarYear,MONTH(JunSun1+15)=6),JunSun1+15,""))</f>
        <v>45089</v>
      </c>
      <c r="L25" s="29">
        <f>IF(DAY(JunSun1)=1,IF(AND(YEAR(JunSun1+9)=CalendarYear,MONTH(JunSun1+9)=6),JunSun1+9,""),IF(AND(YEAR(JunSun1+16)=CalendarYear,MONTH(JunSun1+16)=6),JunSun1+16,""))</f>
        <v>45090</v>
      </c>
      <c r="M25" s="29">
        <f>IF(DAY(JunSun1)=1,IF(AND(YEAR(JunSun1+10)=CalendarYear,MONTH(JunSun1+10)=6),JunSun1+10,""),IF(AND(YEAR(JunSun1+17)=CalendarYear,MONTH(JunSun1+17)=6),JunSun1+17,""))</f>
        <v>45091</v>
      </c>
      <c r="N25" s="29">
        <f>IF(DAY(JunSun1)=1,IF(AND(YEAR(JunSun1+11)=CalendarYear,MONTH(JunSun1+11)=6),JunSun1+11,""),IF(AND(YEAR(JunSun1+18)=CalendarYear,MONTH(JunSun1+18)=6),JunSun1+18,""))</f>
        <v>45092</v>
      </c>
      <c r="O25" s="29">
        <f>IF(DAY(JunSun1)=1,IF(AND(YEAR(JunSun1+12)=CalendarYear,MONTH(JunSun1+12)=6),JunSun1+12,""),IF(AND(YEAR(JunSun1+19)=CalendarYear,MONTH(JunSun1+19)=6),JunSun1+19,""))</f>
        <v>45093</v>
      </c>
      <c r="P25" s="29">
        <f>IF(DAY(JunSun1)=1,IF(AND(YEAR(JunSun1+13)=CalendarYear,MONTH(JunSun1+13)=6),JunSun1+13,""),IF(AND(YEAR(JunSun1+20)=CalendarYear,MONTH(JunSun1+20)=6),JunSun1+20,""))</f>
        <v>45094</v>
      </c>
      <c r="Q25" s="29">
        <f>IF(DAY(JunSun1)=1,IF(AND(YEAR(JunSun1+14)=CalendarYear,MONTH(JunSun1+14)=6),JunSun1+14,""),IF(AND(YEAR(JunSun1+21)=CalendarYear,MONTH(JunSun1+21)=6),JunSun1+21,""))</f>
        <v>45095</v>
      </c>
      <c r="S25" s="5"/>
      <c r="U25" s="52"/>
    </row>
    <row r="26" spans="3:41" ht="15" customHeight="1" x14ac:dyDescent="0.25">
      <c r="C26" s="29">
        <f>IF(DAY(MaySun1)=1,IF(AND(YEAR(MaySun1+15)=CalendarYear,MONTH(MaySun1+15)=5),MaySun1+15,""),IF(AND(YEAR(MaySun1+22)=CalendarYear,MONTH(MaySun1+22)=5),MaySun1+22,""))</f>
        <v>45068</v>
      </c>
      <c r="D26" s="29">
        <f>IF(DAY(MaySun1)=1,IF(AND(YEAR(MaySun1+16)=CalendarYear,MONTH(MaySun1+16)=5),MaySun1+16,""),IF(AND(YEAR(MaySun1+23)=CalendarYear,MONTH(MaySun1+23)=5),MaySun1+23,""))</f>
        <v>45069</v>
      </c>
      <c r="E26" s="29">
        <f>IF(DAY(MaySun1)=1,IF(AND(YEAR(MaySun1+17)=CalendarYear,MONTH(MaySun1+17)=5),MaySun1+17,""),IF(AND(YEAR(MaySun1+24)=CalendarYear,MONTH(MaySun1+24)=5),MaySun1+24,""))</f>
        <v>45070</v>
      </c>
      <c r="F26" s="29">
        <f>IF(DAY(MaySun1)=1,IF(AND(YEAR(MaySun1+18)=CalendarYear,MONTH(MaySun1+18)=5),MaySun1+18,""),IF(AND(YEAR(MaySun1+25)=CalendarYear,MONTH(MaySun1+25)=5),MaySun1+25,""))</f>
        <v>45071</v>
      </c>
      <c r="G26" s="29">
        <f>IF(DAY(MaySun1)=1,IF(AND(YEAR(MaySun1+19)=CalendarYear,MONTH(MaySun1+19)=5),MaySun1+19,""),IF(AND(YEAR(MaySun1+26)=CalendarYear,MONTH(MaySun1+26)=5),MaySun1+26,""))</f>
        <v>45072</v>
      </c>
      <c r="H26" s="29">
        <f>IF(DAY(MaySun1)=1,IF(AND(YEAR(MaySun1+20)=CalendarYear,MONTH(MaySun1+20)=5),MaySun1+20,""),IF(AND(YEAR(MaySun1+27)=CalendarYear,MONTH(MaySun1+27)=5),MaySun1+27,""))</f>
        <v>45073</v>
      </c>
      <c r="I26" s="29">
        <f>IF(DAY(MaySun1)=1,IF(AND(YEAR(MaySun1+21)=CalendarYear,MONTH(MaySun1+21)=5),MaySun1+21,""),IF(AND(YEAR(MaySun1+28)=CalendarYear,MONTH(MaySun1+28)=5),MaySun1+28,""))</f>
        <v>45074</v>
      </c>
      <c r="J26" s="3"/>
      <c r="K26" s="29">
        <f>IF(DAY(JunSun1)=1,IF(AND(YEAR(JunSun1+15)=CalendarYear,MONTH(JunSun1+15)=6),JunSun1+15,""),IF(AND(YEAR(JunSun1+22)=CalendarYear,MONTH(JunSun1+22)=6),JunSun1+22,""))</f>
        <v>45096</v>
      </c>
      <c r="L26" s="29">
        <f>IF(DAY(JunSun1)=1,IF(AND(YEAR(JunSun1+16)=CalendarYear,MONTH(JunSun1+16)=6),JunSun1+16,""),IF(AND(YEAR(JunSun1+23)=CalendarYear,MONTH(JunSun1+23)=6),JunSun1+23,""))</f>
        <v>45097</v>
      </c>
      <c r="M26" s="29">
        <f>IF(DAY(JunSun1)=1,IF(AND(YEAR(JunSun1+17)=CalendarYear,MONTH(JunSun1+17)=6),JunSun1+17,""),IF(AND(YEAR(JunSun1+24)=CalendarYear,MONTH(JunSun1+24)=6),JunSun1+24,""))</f>
        <v>45098</v>
      </c>
      <c r="N26" s="48">
        <f>IF(DAY(JunSun1)=1,IF(AND(YEAR(JunSun1+18)=CalendarYear,MONTH(JunSun1+18)=6),JunSun1+18,""),IF(AND(YEAR(JunSun1+25)=CalendarYear,MONTH(JunSun1+25)=6),JunSun1+25,""))</f>
        <v>45099</v>
      </c>
      <c r="O26" s="29">
        <f>IF(DAY(JunSun1)=1,IF(AND(YEAR(JunSun1+19)=CalendarYear,MONTH(JunSun1+19)=6),JunSun1+19,""),IF(AND(YEAR(JunSun1+26)=CalendarYear,MONTH(JunSun1+26)=6),JunSun1+26,""))</f>
        <v>45100</v>
      </c>
      <c r="P26" s="29">
        <f>IF(DAY(JunSun1)=1,IF(AND(YEAR(JunSun1+20)=CalendarYear,MONTH(JunSun1+20)=6),JunSun1+20,""),IF(AND(YEAR(JunSun1+27)=CalendarYear,MONTH(JunSun1+27)=6),JunSun1+27,""))</f>
        <v>45101</v>
      </c>
      <c r="Q26" s="29">
        <f>IF(DAY(JunSun1)=1,IF(AND(YEAR(JunSun1+21)=CalendarYear,MONTH(JunSun1+21)=6),JunSun1+21,""),IF(AND(YEAR(JunSun1+28)=CalendarYear,MONTH(JunSun1+28)=6),JunSun1+28,""))</f>
        <v>45102</v>
      </c>
      <c r="S26" s="5"/>
      <c r="U26" s="52"/>
    </row>
    <row r="27" spans="3:41" ht="15" customHeight="1" x14ac:dyDescent="0.2">
      <c r="C27" s="29">
        <f>IF(DAY(MaySun1)=1,IF(AND(YEAR(MaySun1+22)=CalendarYear,MONTH(MaySun1+22)=5),MaySun1+22,""),IF(AND(YEAR(MaySun1+29)=CalendarYear,MONTH(MaySun1+29)=5),MaySun1+29,""))</f>
        <v>45075</v>
      </c>
      <c r="D27" s="29">
        <f>IF(DAY(MaySun1)=1,IF(AND(YEAR(MaySun1+23)=CalendarYear,MONTH(MaySun1+23)=5),MaySun1+23,""),IF(AND(YEAR(MaySun1+30)=CalendarYear,MONTH(MaySun1+30)=5),MaySun1+30,""))</f>
        <v>45076</v>
      </c>
      <c r="E27" s="29">
        <f>IF(DAY(MaySun1)=1,IF(AND(YEAR(MaySun1+24)=CalendarYear,MONTH(MaySun1+24)=5),MaySun1+24,""),IF(AND(YEAR(MaySun1+31)=CalendarYear,MONTH(MaySun1+31)=5),MaySun1+31,""))</f>
        <v>45077</v>
      </c>
      <c r="F27" s="55" t="str">
        <f>IF(DAY(MaySun1)=1,IF(AND(YEAR(MaySun1+25)=CalendarYear,MONTH(MaySun1+25)=5),MaySun1+25,""),IF(AND(YEAR(MaySun1+32)=CalendarYear,MONTH(MaySun1+32)=5),MaySun1+32,""))</f>
        <v/>
      </c>
      <c r="G27" s="55" t="str">
        <f>IF(DAY(MaySun1)=1,IF(AND(YEAR(MaySun1+26)=CalendarYear,MONTH(MaySun1+26)=5),MaySun1+26,""),IF(AND(YEAR(MaySun1+33)=CalendarYear,MONTH(MaySun1+33)=5),MaySun1+33,""))</f>
        <v/>
      </c>
      <c r="H27" s="55" t="str">
        <f>IF(DAY(MaySun1)=1,IF(AND(YEAR(MaySun1+27)=CalendarYear,MONTH(MaySun1+27)=5),MaySun1+27,""),IF(AND(YEAR(MaySun1+34)=CalendarYear,MONTH(MaySun1+34)=5),MaySun1+34,""))</f>
        <v/>
      </c>
      <c r="I27" s="55" t="str">
        <f>IF(DAY(MaySun1)=1,IF(AND(YEAR(MaySun1+28)=CalendarYear,MONTH(MaySun1+28)=5),MaySun1+28,""),IF(AND(YEAR(MaySun1+35)=CalendarYear,MONTH(MaySun1+35)=5),MaySun1+35,""))</f>
        <v/>
      </c>
      <c r="J27" s="3"/>
      <c r="K27" s="29">
        <f>IF(DAY(JunSun1)=1,IF(AND(YEAR(JunSun1+22)=CalendarYear,MONTH(JunSun1+22)=6),JunSun1+22,""),IF(AND(YEAR(JunSun1+29)=CalendarYear,MONTH(JunSun1+29)=6),JunSun1+29,""))</f>
        <v>45103</v>
      </c>
      <c r="L27" s="29">
        <f>IF(DAY(JunSun1)=1,IF(AND(YEAR(JunSun1+23)=CalendarYear,MONTH(JunSun1+23)=6),JunSun1+23,""),IF(AND(YEAR(JunSun1+30)=CalendarYear,MONTH(JunSun1+30)=6),JunSun1+30,""))</f>
        <v>45104</v>
      </c>
      <c r="M27" s="29">
        <f>IF(DAY(JunSun1)=1,IF(AND(YEAR(JunSun1+24)=CalendarYear,MONTH(JunSun1+24)=6),JunSun1+24,""),IF(AND(YEAR(JunSun1+31)=CalendarYear,MONTH(JunSun1+31)=6),JunSun1+31,""))</f>
        <v>45105</v>
      </c>
      <c r="N27" s="29">
        <f>IF(DAY(JunSun1)=1,IF(AND(YEAR(JunSun1+25)=CalendarYear,MONTH(JunSun1+25)=6),JunSun1+25,""),IF(AND(YEAR(JunSun1+32)=CalendarYear,MONTH(JunSun1+32)=6),JunSun1+32,""))</f>
        <v>45106</v>
      </c>
      <c r="O27" s="29">
        <f>IF(DAY(JunSun1)=1,IF(AND(YEAR(JunSun1+26)=CalendarYear,MONTH(JunSun1+26)=6),JunSun1+26,""),IF(AND(YEAR(JunSun1+33)=CalendarYear,MONTH(JunSun1+33)=6),JunSun1+33,""))</f>
        <v>45107</v>
      </c>
      <c r="P27" s="33" t="str">
        <f>IF(DAY(JunSun1)=1,IF(AND(YEAR(JunSun1+27)=CalendarYear,MONTH(JunSun1+27)=6),JunSun1+27,""),IF(AND(YEAR(JunSun1+34)=CalendarYear,MONTH(JunSun1+34)=6),JunSun1+34,""))</f>
        <v/>
      </c>
      <c r="Q27" s="33" t="str">
        <f>IF(DAY(JunSun1)=1,IF(AND(YEAR(JunSun1+28)=CalendarYear,MONTH(JunSun1+28)=6),JunSun1+28,""),IF(AND(YEAR(JunSun1+35)=CalendarYear,MONTH(JunSun1+35)=6),JunSun1+35,""))</f>
        <v/>
      </c>
      <c r="S27" s="5"/>
      <c r="U27" s="11"/>
    </row>
    <row r="28" spans="3:41" ht="15" customHeight="1" x14ac:dyDescent="0.2">
      <c r="C28" s="3" t="str">
        <f>IF(DAY(MaySun1)=1,IF(AND(YEAR(MaySun1+29)=CalendarYear,MONTH(MaySun1+29)=5),MaySun1+29,""),IF(AND(YEAR(MaySun1+36)=CalendarYear,MONTH(MaySun1+36)=5),MaySun1+36,""))</f>
        <v/>
      </c>
      <c r="D28" s="3" t="str">
        <f>IF(DAY(MaySun1)=1,IF(AND(YEAR(MaySun1+30)=CalendarYear,MONTH(MaySun1+30)=5),MaySun1+30,""),IF(AND(YEAR(MaySun1+37)=CalendarYear,MONTH(MaySun1+37)=5),MaySun1+37,""))</f>
        <v/>
      </c>
      <c r="E28" s="3" t="str">
        <f>IF(DAY(MaySun1)=1,IF(AND(YEAR(MaySun1+31)=CalendarYear,MONTH(MaySun1+31)=5),MaySun1+31,""),IF(AND(YEAR(MaySun1+38)=CalendarYear,MONTH(MaySun1+38)=5),MaySun1+38,""))</f>
        <v/>
      </c>
      <c r="F28" s="3" t="str">
        <f>IF(DAY(MaySun1)=1,IF(AND(YEAR(MaySun1+32)=CalendarYear,MONTH(MaySun1+32)=5),MaySun1+32,""),IF(AND(YEAR(MaySun1+39)=CalendarYear,MONTH(MaySun1+39)=5),MaySun1+39,""))</f>
        <v/>
      </c>
      <c r="G28" s="3" t="str">
        <f>IF(DAY(MaySun1)=1,IF(AND(YEAR(MaySun1+33)=CalendarYear,MONTH(MaySun1+33)=5),MaySun1+33,""),IF(AND(YEAR(MaySun1+40)=CalendarYear,MONTH(MaySun1+40)=5),MaySun1+40,""))</f>
        <v/>
      </c>
      <c r="H28" s="3" t="str">
        <f>IF(DAY(MaySun1)=1,IF(AND(YEAR(MaySun1+34)=CalendarYear,MONTH(MaySun1+34)=5),MaySun1+34,""),IF(AND(YEAR(MaySun1+41)=CalendarYear,MONTH(MaySun1+41)=5),MaySun1+41,""))</f>
        <v/>
      </c>
      <c r="I28" s="3" t="str">
        <f>IF(DAY(MaySun1)=1,IF(AND(YEAR(MaySun1+35)=CalendarYear,MONTH(MaySun1+35)=5),MaySun1+35,""),IF(AND(YEAR(MaySun1+42)=CalendarYear,MONTH(MaySun1+42)=5),MaySun1+42,""))</f>
        <v/>
      </c>
      <c r="J28" s="3"/>
      <c r="K28" s="3" t="str">
        <f>IF(DAY(JunSun1)=1,IF(AND(YEAR(JunSun1+29)=CalendarYear,MONTH(JunSun1+29)=6),JunSun1+29,""),IF(AND(YEAR(JunSun1+36)=CalendarYear,MONTH(JunSun1+36)=6),JunSun1+36,""))</f>
        <v/>
      </c>
      <c r="L28" s="3" t="str">
        <f>IF(DAY(JunSun1)=1,IF(AND(YEAR(JunSun1+30)=CalendarYear,MONTH(JunSun1+30)=6),JunSun1+30,""),IF(AND(YEAR(JunSun1+37)=CalendarYear,MONTH(JunSun1+37)=6),JunSun1+37,""))</f>
        <v/>
      </c>
      <c r="M28" s="3" t="str">
        <f>IF(DAY(JunSun1)=1,IF(AND(YEAR(JunSun1+31)=CalendarYear,MONTH(JunSun1+31)=6),JunSun1+31,""),IF(AND(YEAR(JunSun1+38)=CalendarYear,MONTH(JunSun1+38)=6),JunSun1+38,""))</f>
        <v/>
      </c>
      <c r="N28" s="3" t="str">
        <f>IF(DAY(JunSun1)=1,IF(AND(YEAR(JunSun1+32)=CalendarYear,MONTH(JunSun1+32)=6),JunSun1+32,""),IF(AND(YEAR(JunSun1+39)=CalendarYear,MONTH(JunSun1+39)=6),JunSun1+39,""))</f>
        <v/>
      </c>
      <c r="O28" s="3" t="str">
        <f>IF(DAY(JunSun1)=1,IF(AND(YEAR(JunSun1+33)=CalendarYear,MONTH(JunSun1+33)=6),JunSun1+33,""),IF(AND(YEAR(JunSun1+40)=CalendarYear,MONTH(JunSun1+40)=6),JunSun1+40,""))</f>
        <v/>
      </c>
      <c r="P28" s="3" t="str">
        <f>IF(DAY(JunSun1)=1,IF(AND(YEAR(JunSun1+34)=CalendarYear,MONTH(JunSun1+34)=6),JunSun1+34,""),IF(AND(YEAR(JunSun1+41)=CalendarYear,MONTH(JunSun1+41)=6),JunSun1+41,""))</f>
        <v/>
      </c>
      <c r="Q28" s="3" t="str">
        <f>IF(DAY(JunSun1)=1,IF(AND(YEAR(JunSun1+35)=CalendarYear,MONTH(JunSun1+35)=6),JunSun1+35,""),IF(AND(YEAR(JunSun1+42)=CalendarYear,MONTH(JunSun1+42)=6),JunSun1+42,""))</f>
        <v/>
      </c>
      <c r="S28" s="5"/>
      <c r="U28" s="14"/>
    </row>
    <row r="29" spans="3:41" ht="15" customHeight="1" x14ac:dyDescent="0.2">
      <c r="J29" s="3"/>
      <c r="S29" s="5"/>
      <c r="U29" s="10"/>
    </row>
    <row r="30" spans="3:41" ht="15" customHeight="1" x14ac:dyDescent="0.25">
      <c r="C30" s="30" t="s">
        <v>14</v>
      </c>
      <c r="D30" s="4"/>
      <c r="E30" s="4"/>
      <c r="F30" s="4"/>
      <c r="G30" s="4"/>
      <c r="H30" s="4"/>
      <c r="I30" s="4"/>
      <c r="J30" s="3"/>
      <c r="K30" s="30" t="s">
        <v>4</v>
      </c>
      <c r="L30" s="4"/>
      <c r="M30" s="4"/>
      <c r="N30" s="4"/>
      <c r="O30" s="4"/>
      <c r="P30" s="4"/>
      <c r="Q30" s="4"/>
      <c r="S30" s="5"/>
      <c r="U30" s="11"/>
    </row>
    <row r="31" spans="3:41" ht="15" customHeight="1" x14ac:dyDescent="0.2">
      <c r="C31" s="27" t="s">
        <v>1</v>
      </c>
      <c r="D31" s="27" t="s">
        <v>10</v>
      </c>
      <c r="E31" s="27" t="s">
        <v>1</v>
      </c>
      <c r="F31" s="27" t="s">
        <v>10</v>
      </c>
      <c r="G31" s="27" t="s">
        <v>2</v>
      </c>
      <c r="H31" s="27" t="s">
        <v>0</v>
      </c>
      <c r="I31" s="27" t="s">
        <v>0</v>
      </c>
      <c r="J31" s="3"/>
      <c r="K31" s="27" t="s">
        <v>1</v>
      </c>
      <c r="L31" s="27" t="s">
        <v>10</v>
      </c>
      <c r="M31" s="27" t="s">
        <v>1</v>
      </c>
      <c r="N31" s="27" t="s">
        <v>10</v>
      </c>
      <c r="O31" s="27" t="s">
        <v>2</v>
      </c>
      <c r="P31" s="27" t="s">
        <v>0</v>
      </c>
      <c r="Q31" s="27" t="s">
        <v>0</v>
      </c>
      <c r="S31" s="5"/>
      <c r="U31" s="14"/>
    </row>
    <row r="32" spans="3:41" ht="15" customHeight="1" x14ac:dyDescent="0.25">
      <c r="C32" s="33" t="str">
        <f>IF(DAY(JulSun1)=1,"",IF(AND(YEAR(JulSun1+1)=CalendarYear,MONTH(JulSun1+1)=7),JulSun1+1,""))</f>
        <v/>
      </c>
      <c r="D32" s="33" t="str">
        <f>IF(DAY(JulSun1)=1,"",IF(AND(YEAR(JulSun1+2)=CalendarYear,MONTH(JulSun1+2)=7),JulSun1+2,""))</f>
        <v/>
      </c>
      <c r="E32" s="33" t="str">
        <f>IF(DAY(JulSun1)=1,"",IF(AND(YEAR(JulSun1+3)=CalendarYear,MONTH(JulSun1+3)=7),JulSun1+3,""))</f>
        <v/>
      </c>
      <c r="F32" s="33" t="str">
        <f>IF(DAY(JulSun1)=1,"",IF(AND(YEAR(JulSun1+4)=CalendarYear,MONTH(JulSun1+4)=7),JulSun1+4,""))</f>
        <v/>
      </c>
      <c r="G32" s="55" t="str">
        <f>IF(DAY(JulSun1)=1,"",IF(AND(YEAR(JulSun1+5)=CalendarYear,MONTH(JulSun1+5)=7),JulSun1+5,""))</f>
        <v/>
      </c>
      <c r="H32" s="29">
        <f>IF(DAY(JulSun1)=1,"",IF(AND(YEAR(JulSun1+6)=CalendarYear,MONTH(JulSun1+6)=7),JulSun1+6,""))</f>
        <v>45108</v>
      </c>
      <c r="I32" s="29">
        <f>IF(DAY(JulSun1)=1,IF(AND(YEAR(JulSun1)=CalendarYear,MONTH(JulSun1)=7),JulSun1,""),IF(AND(YEAR(JulSun1+7)=CalendarYear,MONTH(JulSun1+7)=7),JulSun1+7,""))</f>
        <v>45109</v>
      </c>
      <c r="K32" s="55" t="str">
        <f>IF(DAY(AugSun1)=1,"",IF(AND(YEAR(AugSun1+1)=CalendarYear,MONTH(AugSun1+1)=8),AugSun1+1,""))</f>
        <v/>
      </c>
      <c r="L32" s="29">
        <f>IF(DAY(AugSun1)=1,"",IF(AND(YEAR(AugSun1+2)=CalendarYear,MONTH(AugSun1+2)=8),AugSun1+2,""))</f>
        <v>45139</v>
      </c>
      <c r="M32" s="29">
        <f>IF(DAY(AugSun1)=1,"",IF(AND(YEAR(AugSun1+3)=CalendarYear,MONTH(AugSun1+3)=8),AugSun1+3,""))</f>
        <v>45140</v>
      </c>
      <c r="N32" s="29">
        <f>IF(DAY(AugSun1)=1,"",IF(AND(YEAR(AugSun1+4)=CalendarYear,MONTH(AugSun1+4)=8),AugSun1+4,""))</f>
        <v>45141</v>
      </c>
      <c r="O32" s="29">
        <f>IF(DAY(AugSun1)=1,"",IF(AND(YEAR(AugSun1+5)=CalendarYear,MONTH(AugSun1+5)=8),AugSun1+5,""))</f>
        <v>45142</v>
      </c>
      <c r="P32" s="29">
        <f>IF(DAY(AugSun1)=1,"",IF(AND(YEAR(AugSun1+6)=CalendarYear,MONTH(AugSun1+6)=8),AugSun1+6,""))</f>
        <v>45143</v>
      </c>
      <c r="Q32" s="29">
        <f>IF(DAY(AugSun1)=1,IF(AND(YEAR(AugSun1)=CalendarYear,MONTH(AugSun1)=8),AugSun1,""),IF(AND(YEAR(AugSun1+7)=CalendarYear,MONTH(AugSun1+7)=8),AugSun1+7,""))</f>
        <v>45144</v>
      </c>
      <c r="S32" s="5"/>
      <c r="U32" s="51"/>
    </row>
    <row r="33" spans="3:21" ht="15" customHeight="1" x14ac:dyDescent="0.25">
      <c r="C33" s="29">
        <f>IF(DAY(JulSun1)=1,IF(AND(YEAR(JulSun1+1)=CalendarYear,MONTH(JulSun1+1)=7),JulSun1+1,""),IF(AND(YEAR(JulSun1+8)=CalendarYear,MONTH(JulSun1+8)=7),JulSun1+8,""))</f>
        <v>45110</v>
      </c>
      <c r="D33" s="29">
        <f>IF(DAY(JulSun1)=1,IF(AND(YEAR(JulSun1+2)=CalendarYear,MONTH(JulSun1+2)=7),JulSun1+2,""),IF(AND(YEAR(JulSun1+9)=CalendarYear,MONTH(JulSun1+9)=7),JulSun1+9,""))</f>
        <v>45111</v>
      </c>
      <c r="E33" s="29">
        <f>IF(DAY(JulSun1)=1,IF(AND(YEAR(JulSun1+3)=CalendarYear,MONTH(JulSun1+3)=7),JulSun1+3,""),IF(AND(YEAR(JulSun1+10)=CalendarYear,MONTH(JulSun1+10)=7),JulSun1+10,""))</f>
        <v>45112</v>
      </c>
      <c r="F33" s="34">
        <f>IF(DAY(JulSun1)=1,IF(AND(YEAR(JulSun1+4)=CalendarYear,MONTH(JulSun1+4)=7),JulSun1+4,""),IF(AND(YEAR(JulSun1+11)=CalendarYear,MONTH(JulSun1+11)=7),JulSun1+11,""))</f>
        <v>45113</v>
      </c>
      <c r="G33" s="29">
        <f>IF(DAY(JulSun1)=1,IF(AND(YEAR(JulSun1+5)=CalendarYear,MONTH(JulSun1+5)=7),JulSun1+5,""),IF(AND(YEAR(JulSun1+12)=CalendarYear,MONTH(JulSun1+12)=7),JulSun1+12,""))</f>
        <v>45114</v>
      </c>
      <c r="H33" s="29">
        <f>IF(DAY(JulSun1)=1,IF(AND(YEAR(JulSun1+6)=CalendarYear,MONTH(JulSun1+6)=7),JulSun1+6,""),IF(AND(YEAR(JulSun1+13)=CalendarYear,MONTH(JulSun1+13)=7),JulSun1+13,""))</f>
        <v>45115</v>
      </c>
      <c r="I33" s="29">
        <f>IF(DAY(JulSun1)=1,IF(AND(YEAR(JulSun1+7)=CalendarYear,MONTH(JulSun1+7)=7),JulSun1+7,""),IF(AND(YEAR(JulSun1+14)=CalendarYear,MONTH(JulSun1+14)=7),JulSun1+14,""))</f>
        <v>45116</v>
      </c>
      <c r="K33" s="29">
        <f>IF(DAY(AugSun1)=1,IF(AND(YEAR(AugSun1+1)=CalendarYear,MONTH(AugSun1+1)=8),AugSun1+1,""),IF(AND(YEAR(AugSun1+8)=CalendarYear,MONTH(AugSun1+8)=8),AugSun1+8,""))</f>
        <v>45145</v>
      </c>
      <c r="L33" s="29">
        <f>IF(DAY(AugSun1)=1,IF(AND(YEAR(AugSun1+2)=CalendarYear,MONTH(AugSun1+2)=8),AugSun1+2,""),IF(AND(YEAR(AugSun1+9)=CalendarYear,MONTH(AugSun1+9)=8),AugSun1+9,""))</f>
        <v>45146</v>
      </c>
      <c r="M33" s="29">
        <f>IF(DAY(AugSun1)=1,IF(AND(YEAR(AugSun1+3)=CalendarYear,MONTH(AugSun1+3)=8),AugSun1+3,""),IF(AND(YEAR(AugSun1+10)=CalendarYear,MONTH(AugSun1+10)=8),AugSun1+10,""))</f>
        <v>45147</v>
      </c>
      <c r="N33" s="29">
        <f>IF(DAY(AugSun1)=1,IF(AND(YEAR(AugSun1+4)=CalendarYear,MONTH(AugSun1+4)=8),AugSun1+4,""),IF(AND(YEAR(AugSun1+11)=CalendarYear,MONTH(AugSun1+11)=8),AugSun1+11,""))</f>
        <v>45148</v>
      </c>
      <c r="O33" s="29">
        <f>IF(DAY(AugSun1)=1,IF(AND(YEAR(AugSun1+5)=CalendarYear,MONTH(AugSun1+5)=8),AugSun1+5,""),IF(AND(YEAR(AugSun1+12)=CalendarYear,MONTH(AugSun1+12)=8),AugSun1+12,""))</f>
        <v>45149</v>
      </c>
      <c r="P33" s="29">
        <f>IF(DAY(AugSun1)=1,IF(AND(YEAR(AugSun1+6)=CalendarYear,MONTH(AugSun1+6)=8),AugSun1+6,""),IF(AND(YEAR(AugSun1+13)=CalendarYear,MONTH(AugSun1+13)=8),AugSun1+13,""))</f>
        <v>45150</v>
      </c>
      <c r="Q33" s="29">
        <f>IF(DAY(AugSun1)=1,IF(AND(YEAR(AugSun1+7)=CalendarYear,MONTH(AugSun1+7)=8),AugSun1+7,""),IF(AND(YEAR(AugSun1+14)=CalendarYear,MONTH(AugSun1+14)=8),AugSun1+14,""))</f>
        <v>45151</v>
      </c>
      <c r="S33" s="5"/>
      <c r="U33" s="40"/>
    </row>
    <row r="34" spans="3:21" ht="15" customHeight="1" x14ac:dyDescent="0.2">
      <c r="C34" s="29">
        <f>IF(DAY(JulSun1)=1,IF(AND(YEAR(JulSun1+8)=CalendarYear,MONTH(JulSun1+8)=7),JulSun1+8,""),IF(AND(YEAR(JulSun1+15)=CalendarYear,MONTH(JulSun1+15)=7),JulSun1+15,""))</f>
        <v>45117</v>
      </c>
      <c r="D34" s="29">
        <f>IF(DAY(JulSun1)=1,IF(AND(YEAR(JulSun1+9)=CalendarYear,MONTH(JulSun1+9)=7),JulSun1+9,""),IF(AND(YEAR(JulSun1+16)=CalendarYear,MONTH(JulSun1+16)=7),JulSun1+16,""))</f>
        <v>45118</v>
      </c>
      <c r="E34" s="29">
        <f>IF(DAY(JulSun1)=1,IF(AND(YEAR(JulSun1+10)=CalendarYear,MONTH(JulSun1+10)=7),JulSun1+10,""),IF(AND(YEAR(JulSun1+17)=CalendarYear,MONTH(JulSun1+17)=7),JulSun1+17,""))</f>
        <v>45119</v>
      </c>
      <c r="F34" s="29">
        <f>IF(DAY(JulSun1)=1,IF(AND(YEAR(JulSun1+11)=CalendarYear,MONTH(JulSun1+11)=7),JulSun1+11,""),IF(AND(YEAR(JulSun1+18)=CalendarYear,MONTH(JulSun1+18)=7),JulSun1+18,""))</f>
        <v>45120</v>
      </c>
      <c r="G34" s="29">
        <f>IF(DAY(JulSun1)=1,IF(AND(YEAR(JulSun1+12)=CalendarYear,MONTH(JulSun1+12)=7),JulSun1+12,""),IF(AND(YEAR(JulSun1+19)=CalendarYear,MONTH(JulSun1+19)=7),JulSun1+19,""))</f>
        <v>45121</v>
      </c>
      <c r="H34" s="29">
        <f>IF(DAY(JulSun1)=1,IF(AND(YEAR(JulSun1+13)=CalendarYear,MONTH(JulSun1+13)=7),JulSun1+13,""),IF(AND(YEAR(JulSun1+20)=CalendarYear,MONTH(JulSun1+20)=7),JulSun1+20,""))</f>
        <v>45122</v>
      </c>
      <c r="I34" s="29">
        <f>IF(DAY(JulSun1)=1,IF(AND(YEAR(JulSun1+14)=CalendarYear,MONTH(JulSun1+14)=7),JulSun1+14,""),IF(AND(YEAR(JulSun1+21)=CalendarYear,MONTH(JulSun1+21)=7),JulSun1+21,""))</f>
        <v>45123</v>
      </c>
      <c r="K34" s="29">
        <f>IF(DAY(AugSun1)=1,IF(AND(YEAR(AugSun1+8)=CalendarYear,MONTH(AugSun1+8)=8),AugSun1+8,""),IF(AND(YEAR(AugSun1+15)=CalendarYear,MONTH(AugSun1+15)=8),AugSun1+15,""))</f>
        <v>45152</v>
      </c>
      <c r="L34" s="29">
        <f>IF(DAY(AugSun1)=1,IF(AND(YEAR(AugSun1+9)=CalendarYear,MONTH(AugSun1+9)=8),AugSun1+9,""),IF(AND(YEAR(AugSun1+16)=CalendarYear,MONTH(AugSun1+16)=8),AugSun1+16,""))</f>
        <v>45153</v>
      </c>
      <c r="M34" s="29">
        <f>IF(DAY(AugSun1)=1,IF(AND(YEAR(AugSun1+10)=CalendarYear,MONTH(AugSun1+10)=8),AugSun1+10,""),IF(AND(YEAR(AugSun1+17)=CalendarYear,MONTH(AugSun1+17)=8),AugSun1+17,""))</f>
        <v>45154</v>
      </c>
      <c r="N34" s="29">
        <f>IF(DAY(AugSun1)=1,IF(AND(YEAR(AugSun1+11)=CalendarYear,MONTH(AugSun1+11)=8),AugSun1+11,""),IF(AND(YEAR(AugSun1+18)=CalendarYear,MONTH(AugSun1+18)=8),AugSun1+18,""))</f>
        <v>45155</v>
      </c>
      <c r="O34" s="29">
        <f>IF(DAY(AugSun1)=1,IF(AND(YEAR(AugSun1+12)=CalendarYear,MONTH(AugSun1+12)=8),AugSun1+12,""),IF(AND(YEAR(AugSun1+19)=CalendarYear,MONTH(AugSun1+19)=8),AugSun1+19,""))</f>
        <v>45156</v>
      </c>
      <c r="P34" s="29">
        <f>IF(DAY(AugSun1)=1,IF(AND(YEAR(AugSun1+13)=CalendarYear,MONTH(AugSun1+13)=8),AugSun1+13,""),IF(AND(YEAR(AugSun1+20)=CalendarYear,MONTH(AugSun1+20)=8),AugSun1+20,""))</f>
        <v>45157</v>
      </c>
      <c r="Q34" s="35">
        <f>IF(DAY(AugSun1)=1,IF(AND(YEAR(AugSun1+14)=CalendarYear,MONTH(AugSun1+14)=8),AugSun1+14,""),IF(AND(YEAR(AugSun1+21)=CalendarYear,MONTH(AugSun1+21)=8),AugSun1+21,""))</f>
        <v>45158</v>
      </c>
      <c r="S34" s="5"/>
      <c r="U34" s="50"/>
    </row>
    <row r="35" spans="3:21" ht="15" customHeight="1" x14ac:dyDescent="0.25">
      <c r="C35" s="29">
        <f>IF(DAY(JulSun1)=1,IF(AND(YEAR(JulSun1+15)=CalendarYear,MONTH(JulSun1+15)=7),JulSun1+15,""),IF(AND(YEAR(JulSun1+22)=CalendarYear,MONTH(JulSun1+22)=7),JulSun1+22,""))</f>
        <v>45124</v>
      </c>
      <c r="D35" s="29">
        <f>IF(DAY(JulSun1)=1,IF(AND(YEAR(JulSun1+16)=CalendarYear,MONTH(JulSun1+16)=7),JulSun1+16,""),IF(AND(YEAR(JulSun1+23)=CalendarYear,MONTH(JulSun1+23)=7),JulSun1+23,""))</f>
        <v>45125</v>
      </c>
      <c r="E35" s="29">
        <f>IF(DAY(JulSun1)=1,IF(AND(YEAR(JulSun1+17)=CalendarYear,MONTH(JulSun1+17)=7),JulSun1+17,""),IF(AND(YEAR(JulSun1+24)=CalendarYear,MONTH(JulSun1+24)=7),JulSun1+24,""))</f>
        <v>45126</v>
      </c>
      <c r="F35" s="29">
        <f>IF(DAY(JulSun1)=1,IF(AND(YEAR(JulSun1+18)=CalendarYear,MONTH(JulSun1+18)=7),JulSun1+18,""),IF(AND(YEAR(JulSun1+25)=CalendarYear,MONTH(JulSun1+25)=7),JulSun1+25,""))</f>
        <v>45127</v>
      </c>
      <c r="G35" s="29">
        <f>IF(DAY(JulSun1)=1,IF(AND(YEAR(JulSun1+19)=CalendarYear,MONTH(JulSun1+19)=7),JulSun1+19,""),IF(AND(YEAR(JulSun1+26)=CalendarYear,MONTH(JulSun1+26)=7),JulSun1+26,""))</f>
        <v>45128</v>
      </c>
      <c r="H35" s="29">
        <f>IF(DAY(JulSun1)=1,IF(AND(YEAR(JulSun1+20)=CalendarYear,MONTH(JulSun1+20)=7),JulSun1+20,""),IF(AND(YEAR(JulSun1+27)=CalendarYear,MONTH(JulSun1+27)=7),JulSun1+27,""))</f>
        <v>45129</v>
      </c>
      <c r="I35" s="29">
        <f>IF(DAY(JulSun1)=1,IF(AND(YEAR(JulSun1+21)=CalendarYear,MONTH(JulSun1+21)=7),JulSun1+21,""),IF(AND(YEAR(JulSun1+28)=CalendarYear,MONTH(JulSun1+28)=7),JulSun1+28,""))</f>
        <v>45130</v>
      </c>
      <c r="K35" s="29">
        <f>IF(DAY(AugSun1)=1,IF(AND(YEAR(AugSun1+15)=CalendarYear,MONTH(AugSun1+15)=8),AugSun1+15,""),IF(AND(YEAR(AugSun1+22)=CalendarYear,MONTH(AugSun1+22)=8),AugSun1+22,""))</f>
        <v>45159</v>
      </c>
      <c r="L35" s="29">
        <f>IF(DAY(AugSun1)=1,IF(AND(YEAR(AugSun1+16)=CalendarYear,MONTH(AugSun1+16)=8),AugSun1+16,""),IF(AND(YEAR(AugSun1+23)=CalendarYear,MONTH(AugSun1+23)=8),AugSun1+23,""))</f>
        <v>45160</v>
      </c>
      <c r="M35" s="29">
        <f>IF(DAY(AugSun1)=1,IF(AND(YEAR(AugSun1+17)=CalendarYear,MONTH(AugSun1+17)=8),AugSun1+17,""),IF(AND(YEAR(AugSun1+24)=CalendarYear,MONTH(AugSun1+24)=8),AugSun1+24,""))</f>
        <v>45161</v>
      </c>
      <c r="N35" s="29">
        <f>IF(DAY(AugSun1)=1,IF(AND(YEAR(AugSun1+18)=CalendarYear,MONTH(AugSun1+18)=8),AugSun1+18,""),IF(AND(YEAR(AugSun1+25)=CalendarYear,MONTH(AugSun1+25)=8),AugSun1+25,""))</f>
        <v>45162</v>
      </c>
      <c r="O35" s="29">
        <f>IF(DAY(AugSun1)=1,IF(AND(YEAR(AugSun1+19)=CalendarYear,MONTH(AugSun1+19)=8),AugSun1+19,""),IF(AND(YEAR(AugSun1+26)=CalendarYear,MONTH(AugSun1+26)=8),AugSun1+26,""))</f>
        <v>45163</v>
      </c>
      <c r="P35" s="29">
        <f>IF(DAY(AugSun1)=1,IF(AND(YEAR(AugSun1+20)=CalendarYear,MONTH(AugSun1+20)=8),AugSun1+20,""),IF(AND(YEAR(AugSun1+27)=CalendarYear,MONTH(AugSun1+27)=8),AugSun1+27,""))</f>
        <v>45164</v>
      </c>
      <c r="Q35" s="29">
        <f>IF(DAY(AugSun1)=1,IF(AND(YEAR(AugSun1+21)=CalendarYear,MONTH(AugSun1+21)=8),AugSun1+21,""),IF(AND(YEAR(AugSun1+28)=CalendarYear,MONTH(AugSun1+28)=8),AugSun1+28,""))</f>
        <v>45165</v>
      </c>
      <c r="S35" s="5"/>
      <c r="U35" s="18" t="s">
        <v>34</v>
      </c>
    </row>
    <row r="36" spans="3:21" ht="15" customHeight="1" x14ac:dyDescent="0.25">
      <c r="C36" s="29">
        <f>IF(DAY(JulSun1)=1,IF(AND(YEAR(JulSun1+22)=CalendarYear,MONTH(JulSun1+22)=7),JulSun1+22,""),IF(AND(YEAR(JulSun1+29)=CalendarYear,MONTH(JulSun1+29)=7),JulSun1+29,""))</f>
        <v>45131</v>
      </c>
      <c r="D36" s="29">
        <f>IF(DAY(JulSun1)=1,IF(AND(YEAR(JulSun1+23)=CalendarYear,MONTH(JulSun1+23)=7),JulSun1+23,""),IF(AND(YEAR(JulSun1+30)=CalendarYear,MONTH(JulSun1+30)=7),JulSun1+30,""))</f>
        <v>45132</v>
      </c>
      <c r="E36" s="29">
        <f>IF(DAY(JulSun1)=1,IF(AND(YEAR(JulSun1+24)=CalendarYear,MONTH(JulSun1+24)=7),JulSun1+24,""),IF(AND(YEAR(JulSun1+31)=CalendarYear,MONTH(JulSun1+31)=7),JulSun1+31,""))</f>
        <v>45133</v>
      </c>
      <c r="F36" s="29">
        <f>IF(DAY(JulSun1)=1,IF(AND(YEAR(JulSun1+25)=CalendarYear,MONTH(JulSun1+25)=7),JulSun1+25,""),IF(AND(YEAR(JulSun1+32)=CalendarYear,MONTH(JulSun1+32)=7),JulSun1+32,""))</f>
        <v>45134</v>
      </c>
      <c r="G36" s="29">
        <f>IF(DAY(JulSun1)=1,IF(AND(YEAR(JulSun1+26)=CalendarYear,MONTH(JulSun1+26)=7),JulSun1+26,""),IF(AND(YEAR(JulSun1+33)=CalendarYear,MONTH(JulSun1+33)=7),JulSun1+33,""))</f>
        <v>45135</v>
      </c>
      <c r="H36" s="29">
        <f>IF(DAY(JulSun1)=1,IF(AND(YEAR(JulSun1+27)=CalendarYear,MONTH(JulSun1+27)=7),JulSun1+27,""),IF(AND(YEAR(JulSun1+34)=CalendarYear,MONTH(JulSun1+34)=7),JulSun1+34,""))</f>
        <v>45136</v>
      </c>
      <c r="I36" s="29">
        <f>IF(DAY(JulSun1)=1,IF(AND(YEAR(JulSun1+28)=CalendarYear,MONTH(JulSun1+28)=7),JulSun1+28,""),IF(AND(YEAR(JulSun1+35)=CalendarYear,MONTH(JulSun1+35)=7),JulSun1+35,""))</f>
        <v>45137</v>
      </c>
      <c r="K36" s="29">
        <f>IF(DAY(AugSun1)=1,IF(AND(YEAR(AugSun1+22)=CalendarYear,MONTH(AugSun1+22)=8),AugSun1+22,""),IF(AND(YEAR(AugSun1+29)=CalendarYear,MONTH(AugSun1+29)=8),AugSun1+29,""))</f>
        <v>45166</v>
      </c>
      <c r="L36" s="29">
        <f>IF(DAY(AugSun1)=1,IF(AND(YEAR(AugSun1+23)=CalendarYear,MONTH(AugSun1+23)=8),AugSun1+23,""),IF(AND(YEAR(AugSun1+30)=CalendarYear,MONTH(AugSun1+30)=8),AugSun1+30,""))</f>
        <v>45167</v>
      </c>
      <c r="M36" s="29">
        <f>IF(DAY(AugSun1)=1,IF(AND(YEAR(AugSun1+24)=CalendarYear,MONTH(AugSun1+24)=8),AugSun1+24,""),IF(AND(YEAR(AugSun1+31)=CalendarYear,MONTH(AugSun1+31)=8),AugSun1+31,""))</f>
        <v>45168</v>
      </c>
      <c r="N36" s="29">
        <f>IF(DAY(AugSun1)=1,IF(AND(YEAR(AugSun1+25)=CalendarYear,MONTH(AugSun1+25)=8),AugSun1+25,""),IF(AND(YEAR(AugSun1+32)=CalendarYear,MONTH(AugSun1+32)=8),AugSun1+32,""))</f>
        <v>45169</v>
      </c>
      <c r="O36" s="33" t="str">
        <f>IF(DAY(AugSun1)=1,IF(AND(YEAR(AugSun1+26)=CalendarYear,MONTH(AugSun1+26)=8),AugSun1+26,""),IF(AND(YEAR(AugSun1+33)=CalendarYear,MONTH(AugSun1+33)=8),AugSun1+33,""))</f>
        <v/>
      </c>
      <c r="P36" s="33" t="str">
        <f>IF(DAY(AugSun1)=1,IF(AND(YEAR(AugSun1+27)=CalendarYear,MONTH(AugSun1+27)=8),AugSun1+27,""),IF(AND(YEAR(AugSun1+34)=CalendarYear,MONTH(AugSun1+34)=8),AugSun1+34,""))</f>
        <v/>
      </c>
      <c r="Q36" s="33" t="str">
        <f>IF(DAY(AugSun1)=1,IF(AND(YEAR(AugSun1+28)=CalendarYear,MONTH(AugSun1+28)=8),AugSun1+28,""),IF(AND(YEAR(AugSun1+35)=CalendarYear,MONTH(AugSun1+35)=8),AugSun1+35,""))</f>
        <v/>
      </c>
      <c r="S36" s="5"/>
      <c r="U36" s="19" t="s">
        <v>30</v>
      </c>
    </row>
    <row r="37" spans="3:21" ht="15" customHeight="1" x14ac:dyDescent="0.2">
      <c r="C37" s="3">
        <f>IF(DAY(JulSun1)=1,IF(AND(YEAR(JulSun1+29)=CalendarYear,MONTH(JulSun1+29)=7),JulSun1+29,""),IF(AND(YEAR(JulSun1+36)=CalendarYear,MONTH(JulSun1+36)=7),JulSun1+36,""))</f>
        <v>45138</v>
      </c>
      <c r="D37" s="3" t="str">
        <f>IF(DAY(JulSun1)=1,IF(AND(YEAR(JulSun1+30)=CalendarYear,MONTH(JulSun1+30)=7),JulSun1+30,""),IF(AND(YEAR(JulSun1+37)=CalendarYear,MONTH(JulSun1+37)=7),JulSun1+37,""))</f>
        <v/>
      </c>
      <c r="E37" s="3" t="str">
        <f>IF(DAY(JulSun1)=1,IF(AND(YEAR(JulSun1+31)=CalendarYear,MONTH(JulSun1+31)=7),JulSun1+31,""),IF(AND(YEAR(JulSun1+38)=CalendarYear,MONTH(JulSun1+38)=7),JulSun1+38,""))</f>
        <v/>
      </c>
      <c r="F37" s="3" t="str">
        <f>IF(DAY(JulSun1)=1,IF(AND(YEAR(JulSun1+32)=CalendarYear,MONTH(JulSun1+32)=7),JulSun1+32,""),IF(AND(YEAR(JulSun1+39)=CalendarYear,MONTH(JulSun1+39)=7),JulSun1+39,""))</f>
        <v/>
      </c>
      <c r="G37" s="3" t="str">
        <f>IF(DAY(JulSun1)=1,IF(AND(YEAR(JulSun1+33)=CalendarYear,MONTH(JulSun1+33)=7),JulSun1+33,""),IF(AND(YEAR(JulSun1+40)=CalendarYear,MONTH(JulSun1+40)=7),JulSun1+40,""))</f>
        <v/>
      </c>
      <c r="H37" s="3" t="str">
        <f>IF(DAY(JulSun1)=1,IF(AND(YEAR(JulSun1+34)=CalendarYear,MONTH(JulSun1+34)=7),JulSun1+34,""),IF(AND(YEAR(JulSun1+41)=CalendarYear,MONTH(JulSun1+41)=7),JulSun1+41,""))</f>
        <v/>
      </c>
      <c r="I37" s="3" t="str">
        <f>IF(DAY(JulSun1)=1,IF(AND(YEAR(JulSun1+35)=CalendarYear,MONTH(JulSun1+35)=7),JulSun1+35,""),IF(AND(YEAR(JulSun1+42)=CalendarYear,MONTH(JulSun1+42)=7),JulSun1+42,""))</f>
        <v/>
      </c>
      <c r="K37" s="33" t="str">
        <f>IF(DAY(AugSun1)=1,IF(AND(YEAR(AugSun1+29)=CalendarYear,MONTH(AugSun1+29)=8),AugSun1+29,""),IF(AND(YEAR(AugSun1+36)=CalendarYear,MONTH(AugSun1+36)=8),AugSun1+36,""))</f>
        <v/>
      </c>
      <c r="L37" s="33" t="str">
        <f>IF(DAY(AugSun1)=1,IF(AND(YEAR(AugSun1+30)=CalendarYear,MONTH(AugSun1+30)=8),AugSun1+30,""),IF(AND(YEAR(AugSun1+37)=CalendarYear,MONTH(AugSun1+37)=8),AugSun1+37,""))</f>
        <v/>
      </c>
      <c r="M37" s="33" t="str">
        <f>IF(DAY(AugSun1)=1,IF(AND(YEAR(AugSun1+31)=CalendarYear,MONTH(AugSun1+31)=8),AugSun1+31,""),IF(AND(YEAR(AugSun1+38)=CalendarYear,MONTH(AugSun1+38)=8),AugSun1+38,""))</f>
        <v/>
      </c>
      <c r="N37" s="33" t="str">
        <f>IF(DAY(AugSun1)=1,IF(AND(YEAR(AugSun1+32)=CalendarYear,MONTH(AugSun1+32)=8),AugSun1+32,""),IF(AND(YEAR(AugSun1+39)=CalendarYear,MONTH(AugSun1+39)=8),AugSun1+39,""))</f>
        <v/>
      </c>
      <c r="O37" s="33" t="str">
        <f>IF(DAY(AugSun1)=1,IF(AND(YEAR(AugSun1+33)=CalendarYear,MONTH(AugSun1+33)=8),AugSun1+33,""),IF(AND(YEAR(AugSun1+40)=CalendarYear,MONTH(AugSun1+40)=8),AugSun1+40,""))</f>
        <v/>
      </c>
      <c r="P37" s="33" t="str">
        <f>IF(DAY(AugSun1)=1,IF(AND(YEAR(AugSun1+34)=CalendarYear,MONTH(AugSun1+34)=8),AugSun1+34,""),IF(AND(YEAR(AugSun1+41)=CalendarYear,MONTH(AugSun1+41)=8),AugSun1+41,""))</f>
        <v/>
      </c>
      <c r="Q37" s="33" t="str">
        <f>IF(DAY(AugSun1)=1,IF(AND(YEAR(AugSun1+35)=CalendarYear,MONTH(AugSun1+35)=8),AugSun1+35,""),IF(AND(YEAR(AugSun1+42)=CalendarYear,MONTH(AugSun1+42)=8),AugSun1+42,""))</f>
        <v/>
      </c>
      <c r="S37" s="5"/>
      <c r="U37" s="14"/>
    </row>
    <row r="38" spans="3:21" ht="15" customHeight="1" x14ac:dyDescent="0.25">
      <c r="C38" s="3"/>
      <c r="D38" s="3"/>
      <c r="E38" s="3"/>
      <c r="F38" s="3"/>
      <c r="G38" s="3"/>
      <c r="H38" s="3"/>
      <c r="I38" s="3"/>
      <c r="K38" s="3"/>
      <c r="L38" s="3"/>
      <c r="M38" s="3"/>
      <c r="N38" s="3"/>
      <c r="O38" s="3"/>
      <c r="P38" s="3"/>
      <c r="Q38" s="3"/>
      <c r="S38" s="5"/>
      <c r="U38" s="37" t="s">
        <v>37</v>
      </c>
    </row>
    <row r="39" spans="3:21" ht="15" customHeight="1" x14ac:dyDescent="0.25">
      <c r="C39" s="30" t="s">
        <v>5</v>
      </c>
      <c r="D39" s="30"/>
      <c r="E39" s="4"/>
      <c r="F39" s="4"/>
      <c r="G39" s="4"/>
      <c r="H39" s="4"/>
      <c r="I39" s="4"/>
      <c r="K39" s="30" t="s">
        <v>15</v>
      </c>
      <c r="L39" s="31"/>
      <c r="M39" s="4"/>
      <c r="N39" s="4"/>
      <c r="O39" s="4"/>
      <c r="P39" s="4"/>
      <c r="Q39" s="4"/>
      <c r="S39" s="5"/>
      <c r="U39" s="37" t="s">
        <v>38</v>
      </c>
    </row>
    <row r="40" spans="3:21" ht="15" customHeight="1" x14ac:dyDescent="0.2">
      <c r="C40" s="27" t="s">
        <v>1</v>
      </c>
      <c r="D40" s="27" t="s">
        <v>10</v>
      </c>
      <c r="E40" s="27" t="s">
        <v>1</v>
      </c>
      <c r="F40" s="27" t="s">
        <v>10</v>
      </c>
      <c r="G40" s="27" t="s">
        <v>2</v>
      </c>
      <c r="H40" s="27" t="s">
        <v>0</v>
      </c>
      <c r="I40" s="27" t="s">
        <v>0</v>
      </c>
      <c r="K40" s="27" t="s">
        <v>1</v>
      </c>
      <c r="L40" s="27" t="s">
        <v>10</v>
      </c>
      <c r="M40" s="27" t="s">
        <v>1</v>
      </c>
      <c r="N40" s="27" t="s">
        <v>10</v>
      </c>
      <c r="O40" s="27" t="s">
        <v>2</v>
      </c>
      <c r="P40" s="27" t="s">
        <v>0</v>
      </c>
      <c r="Q40" s="27" t="s">
        <v>0</v>
      </c>
      <c r="S40" s="5"/>
      <c r="U40" s="43"/>
    </row>
    <row r="41" spans="3:21" ht="15" customHeight="1" x14ac:dyDescent="0.25">
      <c r="C41" s="33" t="str">
        <f>IF(DAY(SepSun1)=1,"",IF(AND(YEAR(SepSun1+1)=CalendarYear,MONTH(SepSun1+1)=9),SepSun1+1,""))</f>
        <v/>
      </c>
      <c r="D41" s="33" t="str">
        <f>IF(DAY(SepSun1)=1,"",IF(AND(YEAR(SepSun1+2)=CalendarYear,MONTH(SepSun1+2)=9),SepSun1+2,""))</f>
        <v/>
      </c>
      <c r="E41" s="33" t="str">
        <f>IF(DAY(SepSun1)=1,"",IF(AND(YEAR(SepSun1+3)=CalendarYear,MONTH(SepSun1+3)=9),SepSun1+3,""))</f>
        <v/>
      </c>
      <c r="F41" s="55" t="str">
        <f>IF(DAY(SepSun1)=1,"",IF(AND(YEAR(SepSun1+4)=CalendarYear,MONTH(SepSun1+4)=9),SepSun1+4,""))</f>
        <v/>
      </c>
      <c r="G41" s="29">
        <f>IF(DAY(SepSun1)=1,"",IF(AND(YEAR(SepSun1+5)=CalendarYear,MONTH(SepSun1+5)=9),SepSun1+5,""))</f>
        <v>45170</v>
      </c>
      <c r="H41" s="29">
        <f>IF(DAY(SepSun1)=1,"",IF(AND(YEAR(SepSun1+6)=CalendarYear,MONTH(SepSun1+6)=9),SepSun1+6,""))</f>
        <v>45171</v>
      </c>
      <c r="I41" s="29">
        <f>IF(DAY(SepSun1)=1,IF(AND(YEAR(SepSun1)=CalendarYear,MONTH(SepSun1)=9),SepSun1,""),IF(AND(YEAR(SepSun1+7)=CalendarYear,MONTH(SepSun1+7)=9),SepSun1+7,""))</f>
        <v>45172</v>
      </c>
      <c r="K41" s="33" t="str">
        <f>IF(DAY(OctSun1)=1,"",IF(AND(YEAR(OctSun1+1)=CalendarYear,MONTH(OctSun1+1)=10),OctSun1+1,""))</f>
        <v/>
      </c>
      <c r="L41" s="33" t="str">
        <f>IF(DAY(OctSun1)=1,"",IF(AND(YEAR(OctSun1+2)=CalendarYear,MONTH(OctSun1+2)=10),OctSun1+2,""))</f>
        <v/>
      </c>
      <c r="M41" s="33" t="str">
        <f>IF(DAY(OctSun1)=1,"",IF(AND(YEAR(OctSun1+3)=CalendarYear,MONTH(OctSun1+3)=10),OctSun1+3,""))</f>
        <v/>
      </c>
      <c r="N41" s="33" t="str">
        <f>IF(DAY(OctSun1)=1,"",IF(AND(YEAR(OctSun1+4)=CalendarYear,MONTH(OctSun1+4)=10),OctSun1+4,""))</f>
        <v/>
      </c>
      <c r="O41" s="33" t="str">
        <f>IF(DAY(OctSun1)=1,"",IF(AND(YEAR(OctSun1+5)=CalendarYear,MONTH(OctSun1+5)=10),OctSun1+5,""))</f>
        <v/>
      </c>
      <c r="P41" s="55" t="str">
        <f>IF(DAY(OctSun1)=1,"",IF(AND(YEAR(OctSun1+6)=CalendarYear,MONTH(OctSun1+6)=10),OctSun1+6,""))</f>
        <v/>
      </c>
      <c r="Q41" s="29">
        <f>IF(DAY(OctSun1)=1,IF(AND(YEAR(OctSun1)=CalendarYear,MONTH(OctSun1)=10),OctSun1,""),IF(AND(YEAR(OctSun1+7)=CalendarYear,MONTH(OctSun1+7)=10),OctSun1+7,""))</f>
        <v>45200</v>
      </c>
      <c r="S41" s="5"/>
      <c r="U41" s="39" t="s">
        <v>35</v>
      </c>
    </row>
    <row r="42" spans="3:21" ht="15" customHeight="1" x14ac:dyDescent="0.25">
      <c r="C42" s="29">
        <f>IF(DAY(SepSun1)=1,IF(AND(YEAR(SepSun1+1)=CalendarYear,MONTH(SepSun1+1)=9),SepSun1+1,""),IF(AND(YEAR(SepSun1+8)=CalendarYear,MONTH(SepSun1+8)=9),SepSun1+8,""))</f>
        <v>45173</v>
      </c>
      <c r="D42" s="29">
        <f>IF(DAY(SepSun1)=1,IF(AND(YEAR(SepSun1+2)=CalendarYear,MONTH(SepSun1+2)=9),SepSun1+2,""),IF(AND(YEAR(SepSun1+9)=CalendarYear,MONTH(SepSun1+9)=9),SepSun1+9,""))</f>
        <v>45174</v>
      </c>
      <c r="E42" s="29">
        <f>IF(DAY(SepSun1)=1,IF(AND(YEAR(SepSun1+3)=CalendarYear,MONTH(SepSun1+3)=9),SepSun1+3,""),IF(AND(YEAR(SepSun1+10)=CalendarYear,MONTH(SepSun1+10)=9),SepSun1+10,""))</f>
        <v>45175</v>
      </c>
      <c r="F42" s="34">
        <f>IF(DAY(SepSun1)=1,IF(AND(YEAR(SepSun1+4)=CalendarYear,MONTH(SepSun1+4)=9),SepSun1+4,""),IF(AND(YEAR(SepSun1+11)=CalendarYear,MONTH(SepSun1+11)=9),SepSun1+11,""))</f>
        <v>45176</v>
      </c>
      <c r="G42" s="29">
        <f>IF(DAY(SepSun1)=1,IF(AND(YEAR(SepSun1+5)=CalendarYear,MONTH(SepSun1+5)=9),SepSun1+5,""),IF(AND(YEAR(SepSun1+12)=CalendarYear,MONTH(SepSun1+12)=9),SepSun1+12,""))</f>
        <v>45177</v>
      </c>
      <c r="H42" s="29">
        <f>IF(DAY(SepSun1)=1,IF(AND(YEAR(SepSun1+6)=CalendarYear,MONTH(SepSun1+6)=9),SepSun1+6,""),IF(AND(YEAR(SepSun1+13)=CalendarYear,MONTH(SepSun1+13)=9),SepSun1+13,""))</f>
        <v>45178</v>
      </c>
      <c r="I42" s="29">
        <f>IF(DAY(SepSun1)=1,IF(AND(YEAR(SepSun1+7)=CalendarYear,MONTH(SepSun1+7)=9),SepSun1+7,""),IF(AND(YEAR(SepSun1+14)=CalendarYear,MONTH(SepSun1+14)=9),SepSun1+14,""))</f>
        <v>45179</v>
      </c>
      <c r="K42" s="29">
        <f>IF(DAY(OctSun1)=1,IF(AND(YEAR(OctSun1+1)=CalendarYear,MONTH(OctSun1+1)=10),OctSun1+1,""),IF(AND(YEAR(OctSun1+8)=CalendarYear,MONTH(OctSun1+8)=10),OctSun1+8,""))</f>
        <v>45201</v>
      </c>
      <c r="L42" s="29">
        <f>IF(DAY(OctSun1)=1,IF(AND(YEAR(OctSun1+2)=CalendarYear,MONTH(OctSun1+2)=10),OctSun1+2,""),IF(AND(YEAR(OctSun1+9)=CalendarYear,MONTH(OctSun1+9)=10),OctSun1+9,""))</f>
        <v>45202</v>
      </c>
      <c r="M42" s="29">
        <f>IF(DAY(OctSun1)=1,IF(AND(YEAR(OctSun1+3)=CalendarYear,MONTH(OctSun1+3)=10),OctSun1+3,""),IF(AND(YEAR(OctSun1+10)=CalendarYear,MONTH(OctSun1+10)=10),OctSun1+10,""))</f>
        <v>45203</v>
      </c>
      <c r="N42" s="34">
        <f>IF(DAY(OctSun1)=1,IF(AND(YEAR(OctSun1+4)=CalendarYear,MONTH(OctSun1+4)=10),OctSun1+4,""),IF(AND(YEAR(OctSun1+11)=CalendarYear,MONTH(OctSun1+11)=10),OctSun1+11,""))</f>
        <v>45204</v>
      </c>
      <c r="O42" s="29">
        <f>IF(DAY(OctSun1)=1,IF(AND(YEAR(OctSun1+5)=CalendarYear,MONTH(OctSun1+5)=10),OctSun1+5,""),IF(AND(YEAR(OctSun1+12)=CalendarYear,MONTH(OctSun1+12)=10),OctSun1+12,""))</f>
        <v>45205</v>
      </c>
      <c r="P42" s="34">
        <f>IF(DAY(OctSun1)=1,IF(AND(YEAR(OctSun1+6)=CalendarYear,MONTH(OctSun1+6)=10),OctSun1+6,""),IF(AND(YEAR(OctSun1+13)=CalendarYear,MONTH(OctSun1+13)=10),OctSun1+13,""))</f>
        <v>45206</v>
      </c>
      <c r="Q42" s="29">
        <f>IF(DAY(OctSun1)=1,IF(AND(YEAR(OctSun1+7)=CalendarYear,MONTH(OctSun1+7)=10),OctSun1+7,""),IF(AND(YEAR(OctSun1+14)=CalendarYear,MONTH(OctSun1+14)=10),OctSun1+14,""))</f>
        <v>45207</v>
      </c>
      <c r="S42" s="5"/>
      <c r="U42" s="18" t="s">
        <v>36</v>
      </c>
    </row>
    <row r="43" spans="3:21" ht="15" customHeight="1" x14ac:dyDescent="0.2">
      <c r="C43" s="29">
        <f>IF(DAY(SepSun1)=1,IF(AND(YEAR(SepSun1+8)=CalendarYear,MONTH(SepSun1+8)=9),SepSun1+8,""),IF(AND(YEAR(SepSun1+15)=CalendarYear,MONTH(SepSun1+15)=9),SepSun1+15,""))</f>
        <v>45180</v>
      </c>
      <c r="D43" s="29">
        <f>IF(DAY(SepSun1)=1,IF(AND(YEAR(SepSun1+9)=CalendarYear,MONTH(SepSun1+9)=9),SepSun1+9,""),IF(AND(YEAR(SepSun1+16)=CalendarYear,MONTH(SepSun1+16)=9),SepSun1+16,""))</f>
        <v>45181</v>
      </c>
      <c r="E43" s="29">
        <f>IF(DAY(SepSun1)=1,IF(AND(YEAR(SepSun1+10)=CalendarYear,MONTH(SepSun1+10)=9),SepSun1+10,""),IF(AND(YEAR(SepSun1+17)=CalendarYear,MONTH(SepSun1+17)=9),SepSun1+17,""))</f>
        <v>45182</v>
      </c>
      <c r="F43" s="29">
        <f>IF(DAY(SepSun1)=1,IF(AND(YEAR(SepSun1+11)=CalendarYear,MONTH(SepSun1+11)=9),SepSun1+11,""),IF(AND(YEAR(SepSun1+18)=CalendarYear,MONTH(SepSun1+18)=9),SepSun1+18,""))</f>
        <v>45183</v>
      </c>
      <c r="G43" s="29">
        <f>IF(DAY(SepSun1)=1,IF(AND(YEAR(SepSun1+12)=CalendarYear,MONTH(SepSun1+12)=9),SepSun1+12,""),IF(AND(YEAR(SepSun1+19)=CalendarYear,MONTH(SepSun1+19)=9),SepSun1+19,""))</f>
        <v>45184</v>
      </c>
      <c r="H43" s="29">
        <f>IF(DAY(SepSun1)=1,IF(AND(YEAR(SepSun1+13)=CalendarYear,MONTH(SepSun1+13)=9),SepSun1+13,""),IF(AND(YEAR(SepSun1+20)=CalendarYear,MONTH(SepSun1+20)=9),SepSun1+20,""))</f>
        <v>45185</v>
      </c>
      <c r="I43" s="29">
        <f>IF(DAY(SepSun1)=1,IF(AND(YEAR(SepSun1+14)=CalendarYear,MONTH(SepSun1+14)=9),SepSun1+14,""),IF(AND(YEAR(SepSun1+21)=CalendarYear,MONTH(SepSun1+21)=9),SepSun1+21,""))</f>
        <v>45186</v>
      </c>
      <c r="K43" s="29">
        <f>IF(DAY(OctSun1)=1,IF(AND(YEAR(OctSun1+8)=CalendarYear,MONTH(OctSun1+8)=10),OctSun1+8,""),IF(AND(YEAR(OctSun1+15)=CalendarYear,MONTH(OctSun1+15)=10),OctSun1+15,""))</f>
        <v>45208</v>
      </c>
      <c r="L43" s="29">
        <f>IF(DAY(OctSun1)=1,IF(AND(YEAR(OctSun1+9)=CalendarYear,MONTH(OctSun1+9)=10),OctSun1+9,""),IF(AND(YEAR(OctSun1+16)=CalendarYear,MONTH(OctSun1+16)=10),OctSun1+16,""))</f>
        <v>45209</v>
      </c>
      <c r="M43" s="29">
        <f>IF(DAY(OctSun1)=1,IF(AND(YEAR(OctSun1+10)=CalendarYear,MONTH(OctSun1+10)=10),OctSun1+10,""),IF(AND(YEAR(OctSun1+17)=CalendarYear,MONTH(OctSun1+17)=10),OctSun1+17,""))</f>
        <v>45210</v>
      </c>
      <c r="N43" s="29">
        <f>IF(DAY(OctSun1)=1,IF(AND(YEAR(OctSun1+11)=CalendarYear,MONTH(OctSun1+11)=10),OctSun1+11,""),IF(AND(YEAR(OctSun1+18)=CalendarYear,MONTH(OctSun1+18)=10),OctSun1+18,""))</f>
        <v>45211</v>
      </c>
      <c r="O43" s="29">
        <f>IF(DAY(OctSun1)=1,IF(AND(YEAR(OctSun1+12)=CalendarYear,MONTH(OctSun1+12)=10),OctSun1+12,""),IF(AND(YEAR(OctSun1+19)=CalendarYear,MONTH(OctSun1+19)=10),OctSun1+19,""))</f>
        <v>45212</v>
      </c>
      <c r="P43" s="35">
        <f>IF(DAY(OctSun1)=1,IF(AND(YEAR(OctSun1+13)=CalendarYear,MONTH(OctSun1+13)=10),OctSun1+13,""),IF(AND(YEAR(OctSun1+20)=CalendarYear,MONTH(OctSun1+20)=10),OctSun1+20,""))</f>
        <v>45213</v>
      </c>
      <c r="Q43" s="29">
        <f>IF(DAY(OctSun1)=1,IF(AND(YEAR(OctSun1+14)=CalendarYear,MONTH(OctSun1+14)=10),OctSun1+14,""),IF(AND(YEAR(OctSun1+21)=CalendarYear,MONTH(OctSun1+21)=10),OctSun1+21,""))</f>
        <v>45214</v>
      </c>
      <c r="S43" s="5"/>
      <c r="U43" s="14"/>
    </row>
    <row r="44" spans="3:21" ht="15" customHeight="1" x14ac:dyDescent="0.25">
      <c r="C44" s="29">
        <f>IF(DAY(SepSun1)=1,IF(AND(YEAR(SepSun1+15)=CalendarYear,MONTH(SepSun1+15)=9),SepSun1+15,""),IF(AND(YEAR(SepSun1+22)=CalendarYear,MONTH(SepSun1+22)=9),SepSun1+22,""))</f>
        <v>45187</v>
      </c>
      <c r="D44" s="29">
        <f>IF(DAY(SepSun1)=1,IF(AND(YEAR(SepSun1+16)=CalendarYear,MONTH(SepSun1+16)=9),SepSun1+16,""),IF(AND(YEAR(SepSun1+23)=CalendarYear,MONTH(SepSun1+23)=9),SepSun1+23,""))</f>
        <v>45188</v>
      </c>
      <c r="E44" s="29">
        <f>IF(DAY(SepSun1)=1,IF(AND(YEAR(SepSun1+17)=CalendarYear,MONTH(SepSun1+17)=9),SepSun1+17,""),IF(AND(YEAR(SepSun1+24)=CalendarYear,MONTH(SepSun1+24)=9),SepSun1+24,""))</f>
        <v>45189</v>
      </c>
      <c r="F44" s="29">
        <f>IF(DAY(SepSun1)=1,IF(AND(YEAR(SepSun1+18)=CalendarYear,MONTH(SepSun1+18)=9),SepSun1+18,""),IF(AND(YEAR(SepSun1+25)=CalendarYear,MONTH(SepSun1+25)=9),SepSun1+25,""))</f>
        <v>45190</v>
      </c>
      <c r="G44" s="29">
        <f>IF(DAY(SepSun1)=1,IF(AND(YEAR(SepSun1+19)=CalendarYear,MONTH(SepSun1+19)=9),SepSun1+19,""),IF(AND(YEAR(SepSun1+26)=CalendarYear,MONTH(SepSun1+26)=9),SepSun1+26,""))</f>
        <v>45191</v>
      </c>
      <c r="H44" s="29">
        <f>IF(DAY(SepSun1)=1,IF(AND(YEAR(SepSun1+20)=CalendarYear,MONTH(SepSun1+20)=9),SepSun1+20,""),IF(AND(YEAR(SepSun1+27)=CalendarYear,MONTH(SepSun1+27)=9),SepSun1+27,""))</f>
        <v>45192</v>
      </c>
      <c r="I44" s="29">
        <f>IF(DAY(SepSun1)=1,IF(AND(YEAR(SepSun1+21)=CalendarYear,MONTH(SepSun1+21)=9),SepSun1+21,""),IF(AND(YEAR(SepSun1+28)=CalendarYear,MONTH(SepSun1+28)=9),SepSun1+28,""))</f>
        <v>45193</v>
      </c>
      <c r="K44" s="29">
        <f>IF(DAY(OctSun1)=1,IF(AND(YEAR(OctSun1+15)=CalendarYear,MONTH(OctSun1+15)=10),OctSun1+15,""),IF(AND(YEAR(OctSun1+22)=CalendarYear,MONTH(OctSun1+22)=10),OctSun1+22,""))</f>
        <v>45215</v>
      </c>
      <c r="L44" s="29">
        <f>IF(DAY(OctSun1)=1,IF(AND(YEAR(OctSun1+16)=CalendarYear,MONTH(OctSun1+16)=10),OctSun1+16,""),IF(AND(YEAR(OctSun1+23)=CalendarYear,MONTH(OctSun1+23)=10),OctSun1+23,""))</f>
        <v>45216</v>
      </c>
      <c r="M44" s="29">
        <f>IF(DAY(OctSun1)=1,IF(AND(YEAR(OctSun1+17)=CalendarYear,MONTH(OctSun1+17)=10),OctSun1+17,""),IF(AND(YEAR(OctSun1+24)=CalendarYear,MONTH(OctSun1+24)=10),OctSun1+24,""))</f>
        <v>45217</v>
      </c>
      <c r="N44" s="29">
        <f>IF(DAY(OctSun1)=1,IF(AND(YEAR(OctSun1+18)=CalendarYear,MONTH(OctSun1+18)=10),OctSun1+18,""),IF(AND(YEAR(OctSun1+25)=CalendarYear,MONTH(OctSun1+25)=10),OctSun1+25,""))</f>
        <v>45218</v>
      </c>
      <c r="O44" s="29">
        <f>IF(DAY(OctSun1)=1,IF(AND(YEAR(OctSun1+19)=CalendarYear,MONTH(OctSun1+19)=10),OctSun1+19,""),IF(AND(YEAR(OctSun1+26)=CalendarYear,MONTH(OctSun1+26)=10),OctSun1+26,""))</f>
        <v>45219</v>
      </c>
      <c r="P44" s="29">
        <v>21</v>
      </c>
      <c r="Q44" s="29">
        <f>IF(DAY(OctSun1)=1,IF(AND(YEAR(OctSun1+21)=CalendarYear,MONTH(OctSun1+21)=10),OctSun1+21,""),IF(AND(YEAR(OctSun1+28)=CalendarYear,MONTH(OctSun1+28)=10),OctSun1+28,""))</f>
        <v>45221</v>
      </c>
      <c r="S44" s="5"/>
      <c r="U44" s="18" t="s">
        <v>39</v>
      </c>
    </row>
    <row r="45" spans="3:21" ht="15" customHeight="1" x14ac:dyDescent="0.25">
      <c r="C45" s="29">
        <f>IF(DAY(SepSun1)=1,IF(AND(YEAR(SepSun1+22)=CalendarYear,MONTH(SepSun1+22)=9),SepSun1+22,""),IF(AND(YEAR(SepSun1+29)=CalendarYear,MONTH(SepSun1+29)=9),SepSun1+29,""))</f>
        <v>45194</v>
      </c>
      <c r="D45" s="29">
        <f>IF(DAY(SepSun1)=1,IF(AND(YEAR(SepSun1+23)=CalendarYear,MONTH(SepSun1+23)=9),SepSun1+23,""),IF(AND(YEAR(SepSun1+30)=CalendarYear,MONTH(SepSun1+30)=9),SepSun1+30,""))</f>
        <v>45195</v>
      </c>
      <c r="E45" s="29">
        <f>IF(DAY(SepSun1)=1,IF(AND(YEAR(SepSun1+24)=CalendarYear,MONTH(SepSun1+24)=9),SepSun1+24,""),IF(AND(YEAR(SepSun1+31)=CalendarYear,MONTH(SepSun1+31)=9),SepSun1+31,""))</f>
        <v>45196</v>
      </c>
      <c r="F45" s="29">
        <f>IF(DAY(SepSun1)=1,IF(AND(YEAR(SepSun1+25)=CalendarYear,MONTH(SepSun1+25)=9),SepSun1+25,""),IF(AND(YEAR(SepSun1+32)=CalendarYear,MONTH(SepSun1+32)=9),SepSun1+32,""))</f>
        <v>45197</v>
      </c>
      <c r="G45" s="29">
        <f>IF(DAY(SepSun1)=1,IF(AND(YEAR(SepSun1+26)=CalendarYear,MONTH(SepSun1+26)=9),SepSun1+26,""),IF(AND(YEAR(SepSun1+33)=CalendarYear,MONTH(SepSun1+33)=9),SepSun1+33,""))</f>
        <v>45198</v>
      </c>
      <c r="H45" s="34">
        <f>IF(DAY(SepSun1)=1,IF(AND(YEAR(SepSun1+27)=CalendarYear,MONTH(SepSun1+27)=9),SepSun1+27,""),IF(AND(YEAR(SepSun1+34)=CalendarYear,MONTH(SepSun1+34)=9),SepSun1+34,""))</f>
        <v>45199</v>
      </c>
      <c r="I45" s="33" t="str">
        <f>IF(DAY(SepSun1)=1,IF(AND(YEAR(SepSun1+28)=CalendarYear,MONTH(SepSun1+28)=9),SepSun1+28,""),IF(AND(YEAR(SepSun1+35)=CalendarYear,MONTH(SepSun1+35)=9),SepSun1+35,""))</f>
        <v/>
      </c>
      <c r="K45" s="29">
        <f>IF(DAY(OctSun1)=1,IF(AND(YEAR(OctSun1+22)=CalendarYear,MONTH(OctSun1+22)=10),OctSun1+22,""),IF(AND(YEAR(OctSun1+29)=CalendarYear,MONTH(OctSun1+29)=10),OctSun1+29,""))</f>
        <v>45222</v>
      </c>
      <c r="L45" s="29">
        <f>IF(DAY(OctSun1)=1,IF(AND(YEAR(OctSun1+23)=CalendarYear,MONTH(OctSun1+23)=10),OctSun1+23,""),IF(AND(YEAR(OctSun1+30)=CalendarYear,MONTH(OctSun1+30)=10),OctSun1+30,""))</f>
        <v>45223</v>
      </c>
      <c r="M45" s="29">
        <f>IF(DAY(OctSun1)=1,IF(AND(YEAR(OctSun1+24)=CalendarYear,MONTH(OctSun1+24)=10),OctSun1+24,""),IF(AND(YEAR(OctSun1+31)=CalendarYear,MONTH(OctSun1+31)=10),OctSun1+31,""))</f>
        <v>45224</v>
      </c>
      <c r="N45" s="29">
        <f>IF(DAY(OctSun1)=1,IF(AND(YEAR(OctSun1+25)=CalendarYear,MONTH(OctSun1+25)=10),OctSun1+25,""),IF(AND(YEAR(OctSun1+32)=CalendarYear,MONTH(OctSun1+32)=10),OctSun1+32,""))</f>
        <v>45225</v>
      </c>
      <c r="O45" s="29">
        <f>IF(DAY(OctSun1)=1,IF(AND(YEAR(OctSun1+26)=CalendarYear,MONTH(OctSun1+26)=10),OctSun1+26,""),IF(AND(YEAR(OctSun1+33)=CalendarYear,MONTH(OctSun1+33)=10),OctSun1+33,""))</f>
        <v>45226</v>
      </c>
      <c r="P45" s="29">
        <f>IF(DAY(OctSun1)=1,IF(AND(YEAR(OctSun1+27)=CalendarYear,MONTH(OctSun1+27)=10),OctSun1+27,""),IF(AND(YEAR(OctSun1+34)=CalendarYear,MONTH(OctSun1+34)=10),OctSun1+34,""))</f>
        <v>45227</v>
      </c>
      <c r="Q45" s="29">
        <f>IF(DAY(OctSun1)=1,IF(AND(YEAR(OctSun1+28)=CalendarYear,MONTH(OctSun1+28)=10),OctSun1+28,""),IF(AND(YEAR(OctSun1+35)=CalendarYear,MONTH(OctSun1+35)=10),OctSun1+35,""))</f>
        <v>45228</v>
      </c>
      <c r="S45" s="5"/>
      <c r="U45" s="19" t="s">
        <v>29</v>
      </c>
    </row>
    <row r="46" spans="3:21" ht="15" customHeight="1" x14ac:dyDescent="0.25">
      <c r="C46" s="3" t="str">
        <f>IF(DAY(SepSun1)=1,IF(AND(YEAR(SepSun1+29)=CalendarYear,MONTH(SepSun1+29)=9),SepSun1+29,""),IF(AND(YEAR(SepSun1+36)=CalendarYear,MONTH(SepSun1+36)=9),SepSun1+36,""))</f>
        <v/>
      </c>
      <c r="D46" s="3" t="str">
        <f>IF(DAY(SepSun1)=1,IF(AND(YEAR(SepSun1+30)=CalendarYear,MONTH(SepSun1+30)=9),SepSun1+30,""),IF(AND(YEAR(SepSun1+37)=CalendarYear,MONTH(SepSun1+37)=9),SepSun1+37,""))</f>
        <v/>
      </c>
      <c r="E46" s="3" t="str">
        <f>IF(DAY(SepSun1)=1,IF(AND(YEAR(SepSun1+31)=CalendarYear,MONTH(SepSun1+31)=9),SepSun1+31,""),IF(AND(YEAR(SepSun1+38)=CalendarYear,MONTH(SepSun1+38)=9),SepSun1+38,""))</f>
        <v/>
      </c>
      <c r="F46" s="3" t="str">
        <f>IF(DAY(SepSun1)=1,IF(AND(YEAR(SepSun1+32)=CalendarYear,MONTH(SepSun1+32)=9),SepSun1+32,""),IF(AND(YEAR(SepSun1+39)=CalendarYear,MONTH(SepSun1+39)=9),SepSun1+39,""))</f>
        <v/>
      </c>
      <c r="G46" s="3" t="str">
        <f>IF(DAY(SepSun1)=1,IF(AND(YEAR(SepSun1+33)=CalendarYear,MONTH(SepSun1+33)=9),SepSun1+33,""),IF(AND(YEAR(SepSun1+40)=CalendarYear,MONTH(SepSun1+40)=9),SepSun1+40,""))</f>
        <v/>
      </c>
      <c r="H46" s="3" t="str">
        <f>IF(DAY(SepSun1)=1,IF(AND(YEAR(SepSun1+34)=CalendarYear,MONTH(SepSun1+34)=9),SepSun1+34,""),IF(AND(YEAR(SepSun1+41)=CalendarYear,MONTH(SepSun1+41)=9),SepSun1+41,""))</f>
        <v/>
      </c>
      <c r="I46" s="3" t="str">
        <f>IF(DAY(SepSun1)=1,IF(AND(YEAR(SepSun1+35)=CalendarYear,MONTH(SepSun1+35)=9),SepSun1+35,""),IF(AND(YEAR(SepSun1+42)=CalendarYear,MONTH(SepSun1+42)=9),SepSun1+42,""))</f>
        <v/>
      </c>
      <c r="K46" s="29">
        <f>IF(DAY(OctSun1)=1,IF(AND(YEAR(OctSun1+29)=CalendarYear,MONTH(OctSun1+29)=10),OctSun1+29,""),IF(AND(YEAR(OctSun1+36)=CalendarYear,MONTH(OctSun1+36)=10),OctSun1+36,""))</f>
        <v>45229</v>
      </c>
      <c r="L46" s="29">
        <f>IF(DAY(OctSun1)=1,IF(AND(YEAR(OctSun1+30)=CalendarYear,MONTH(OctSun1+30)=10),OctSun1+30,""),IF(AND(YEAR(OctSun1+37)=CalendarYear,MONTH(OctSun1+37)=10),OctSun1+37,""))</f>
        <v>45230</v>
      </c>
      <c r="M46" s="3" t="str">
        <f>IF(DAY(OctSun1)=1,IF(AND(YEAR(OctSun1+31)=CalendarYear,MONTH(OctSun1+31)=10),OctSun1+31,""),IF(AND(YEAR(OctSun1+38)=CalendarYear,MONTH(OctSun1+38)=10),OctSun1+38,""))</f>
        <v/>
      </c>
      <c r="N46" s="3" t="str">
        <f>IF(DAY(OctSun1)=1,IF(AND(YEAR(OctSun1+32)=CalendarYear,MONTH(OctSun1+32)=10),OctSun1+32,""),IF(AND(YEAR(OctSun1+39)=CalendarYear,MONTH(OctSun1+39)=10),OctSun1+39,""))</f>
        <v/>
      </c>
      <c r="O46" s="3" t="str">
        <f>IF(DAY(OctSun1)=1,IF(AND(YEAR(OctSun1+33)=CalendarYear,MONTH(OctSun1+33)=10),OctSun1+33,""),IF(AND(YEAR(OctSun1+40)=CalendarYear,MONTH(OctSun1+40)=10),OctSun1+40,""))</f>
        <v/>
      </c>
      <c r="P46" s="3" t="str">
        <f>IF(DAY(OctSun1)=1,IF(AND(YEAR(OctSun1+34)=CalendarYear,MONTH(OctSun1+34)=10),OctSun1+34,""),IF(AND(YEAR(OctSun1+41)=CalendarYear,MONTH(OctSun1+41)=10),OctSun1+41,""))</f>
        <v/>
      </c>
      <c r="Q46" s="3" t="str">
        <f>IF(DAY(OctSun1)=1,IF(AND(YEAR(OctSun1+35)=CalendarYear,MONTH(OctSun1+35)=10),OctSun1+35,""),IF(AND(YEAR(OctSun1+42)=CalendarYear,MONTH(OctSun1+42)=10),OctSun1+42,""))</f>
        <v/>
      </c>
      <c r="S46" s="5"/>
      <c r="U46" s="42"/>
    </row>
    <row r="47" spans="3:21" ht="15" customHeight="1" x14ac:dyDescent="0.25">
      <c r="S47" s="5"/>
      <c r="U47" s="38" t="s">
        <v>27</v>
      </c>
    </row>
    <row r="48" spans="3:21" ht="15" customHeight="1" x14ac:dyDescent="0.25">
      <c r="C48" s="30" t="s">
        <v>6</v>
      </c>
      <c r="D48" s="30"/>
      <c r="E48" s="4"/>
      <c r="F48" s="4"/>
      <c r="G48" s="4"/>
      <c r="H48" s="4"/>
      <c r="I48" s="4"/>
      <c r="K48" s="30" t="s">
        <v>16</v>
      </c>
      <c r="L48" s="31"/>
      <c r="M48" s="4"/>
      <c r="N48" s="4"/>
      <c r="O48" s="4"/>
      <c r="P48" s="4"/>
      <c r="Q48" s="4"/>
      <c r="S48" s="5"/>
      <c r="U48" s="25" t="s">
        <v>26</v>
      </c>
    </row>
    <row r="49" spans="3:21" ht="15" customHeight="1" x14ac:dyDescent="0.25">
      <c r="C49" s="27" t="s">
        <v>1</v>
      </c>
      <c r="D49" s="27" t="s">
        <v>10</v>
      </c>
      <c r="E49" s="27" t="s">
        <v>1</v>
      </c>
      <c r="F49" s="27" t="s">
        <v>10</v>
      </c>
      <c r="G49" s="27" t="s">
        <v>2</v>
      </c>
      <c r="H49" s="27" t="s">
        <v>0</v>
      </c>
      <c r="I49" s="27" t="s">
        <v>0</v>
      </c>
      <c r="J49" s="13"/>
      <c r="K49" s="27" t="s">
        <v>1</v>
      </c>
      <c r="L49" s="27" t="s">
        <v>10</v>
      </c>
      <c r="M49" s="27" t="s">
        <v>1</v>
      </c>
      <c r="N49" s="27" t="s">
        <v>10</v>
      </c>
      <c r="O49" s="27" t="s">
        <v>2</v>
      </c>
      <c r="P49" s="27" t="s">
        <v>0</v>
      </c>
      <c r="Q49" s="27" t="s">
        <v>0</v>
      </c>
      <c r="S49" s="5"/>
      <c r="U49" s="25" t="s">
        <v>24</v>
      </c>
    </row>
    <row r="50" spans="3:21" ht="15" customHeight="1" x14ac:dyDescent="0.25">
      <c r="C50" s="33" t="str">
        <f>IF(DAY(NovSun1)=1,"",IF(AND(YEAR(NovSun1+1)=CalendarYear,MONTH(NovSun1+1)=11),NovSun1+1,""))</f>
        <v/>
      </c>
      <c r="D50" s="55" t="str">
        <f>IF(DAY(NovSun1)=1,"",IF(AND(YEAR(NovSun1+2)=CalendarYear,MONTH(NovSun1+2)=11),NovSun1+2,""))</f>
        <v/>
      </c>
      <c r="E50" s="29">
        <f>IF(DAY(NovSun1)=1,"",IF(AND(YEAR(NovSun1+3)=CalendarYear,MONTH(NovSun1+3)=11),NovSun1+3,""))</f>
        <v>45231</v>
      </c>
      <c r="F50" s="29">
        <f>IF(DAY(NovSun1)=1,"",IF(AND(YEAR(NovSun1+4)=CalendarYear,MONTH(NovSun1+4)=11),NovSun1+4,""))</f>
        <v>45232</v>
      </c>
      <c r="G50" s="29">
        <f>IF(DAY(NovSun1)=1,"",IF(AND(YEAR(NovSun1+5)=CalendarYear,MONTH(NovSun1+5)=11),NovSun1+5,""))</f>
        <v>45233</v>
      </c>
      <c r="H50" s="29">
        <f>IF(DAY(NovSun1)=1,"",IF(AND(YEAR(NovSun1+6)=CalendarYear,MONTH(NovSun1+6)=11),NovSun1+6,""))</f>
        <v>45234</v>
      </c>
      <c r="I50" s="29">
        <f>IF(DAY(NovSun1)=1,IF(AND(YEAR(NovSun1)=CalendarYear,MONTH(NovSun1)=11),NovSun1,""),IF(AND(YEAR(NovSun1+7)=CalendarYear,MONTH(NovSun1+7)=11),NovSun1+7,""))</f>
        <v>45235</v>
      </c>
      <c r="K50" s="33" t="str">
        <f>IF(DAY(DecSun1)=1,"",IF(AND(YEAR(DecSun1+1)=CalendarYear,MONTH(DecSun1+1)=12),DecSun1+1,""))</f>
        <v/>
      </c>
      <c r="L50" s="33" t="str">
        <f>IF(DAY(DecSun1)=1,"",IF(AND(YEAR(DecSun1+2)=CalendarYear,MONTH(DecSun1+2)=12),DecSun1+2,""))</f>
        <v/>
      </c>
      <c r="M50" s="33" t="str">
        <f>IF(DAY(DecSun1)=1,"",IF(AND(YEAR(DecSun1+3)=CalendarYear,MONTH(DecSun1+3)=12),DecSun1+3,""))</f>
        <v/>
      </c>
      <c r="N50" s="55" t="str">
        <f>IF(DAY(DecSun1)=1,"",IF(AND(YEAR(DecSun1+4)=CalendarYear,MONTH(DecSun1+4)=12),DecSun1+4,""))</f>
        <v/>
      </c>
      <c r="O50" s="29">
        <f>IF(DAY(DecSun1)=1,"",IF(AND(YEAR(DecSun1+5)=CalendarYear,MONTH(DecSun1+5)=12),DecSun1+5,""))</f>
        <v>45261</v>
      </c>
      <c r="P50" s="29">
        <f>IF(DAY(DecSun1)=1,"",IF(AND(YEAR(DecSun1+6)=CalendarYear,MONTH(DecSun1+6)=12),DecSun1+6,""))</f>
        <v>45262</v>
      </c>
      <c r="Q50" s="34">
        <f>IF(DAY(DecSun1)=1,IF(AND(YEAR(DecSun1)=CalendarYear,MONTH(DecSun1)=12),DecSun1,""),IF(AND(YEAR(DecSun1+7)=CalendarYear,MONTH(DecSun1+7)=12),DecSun1+7,""))</f>
        <v>45263</v>
      </c>
      <c r="S50" s="5"/>
      <c r="U50" s="26" t="s">
        <v>25</v>
      </c>
    </row>
    <row r="51" spans="3:21" ht="15" customHeight="1" x14ac:dyDescent="0.2">
      <c r="C51" s="29">
        <f>IF(DAY(NovSun1)=1,IF(AND(YEAR(NovSun1+1)=CalendarYear,MONTH(NovSun1+1)=11),NovSun1+1,""),IF(AND(YEAR(NovSun1+8)=CalendarYear,MONTH(NovSun1+8)=11),NovSun1+8,""))</f>
        <v>45236</v>
      </c>
      <c r="D51" s="29">
        <f>IF(DAY(NovSun1)=1,IF(AND(YEAR(NovSun1+2)=CalendarYear,MONTH(NovSun1+2)=11),NovSun1+2,""),IF(AND(YEAR(NovSun1+9)=CalendarYear,MONTH(NovSun1+9)=11),NovSun1+9,""))</f>
        <v>45237</v>
      </c>
      <c r="E51" s="29">
        <f>IF(DAY(NovSun1)=1,IF(AND(YEAR(NovSun1+3)=CalendarYear,MONTH(NovSun1+3)=11),NovSun1+3,""),IF(AND(YEAR(NovSun1+10)=CalendarYear,MONTH(NovSun1+10)=11),NovSun1+10,""))</f>
        <v>45238</v>
      </c>
      <c r="F51" s="34">
        <f>IF(DAY(NovSun1)=1,IF(AND(YEAR(NovSun1+4)=CalendarYear,MONTH(NovSun1+4)=11),NovSun1+4,""),IF(AND(YEAR(NovSun1+11)=CalendarYear,MONTH(NovSun1+11)=11),NovSun1+11,""))</f>
        <v>45239</v>
      </c>
      <c r="G51" s="29">
        <f>IF(DAY(NovSun1)=1,IF(AND(YEAR(NovSun1+5)=CalendarYear,MONTH(NovSun1+5)=11),NovSun1+5,""),IF(AND(YEAR(NovSun1+12)=CalendarYear,MONTH(NovSun1+12)=11),NovSun1+12,""))</f>
        <v>45240</v>
      </c>
      <c r="H51" s="35">
        <f>IF(DAY(NovSun1)=1,IF(AND(YEAR(NovSun1+6)=CalendarYear,MONTH(NovSun1+6)=11),NovSun1+6,""),IF(AND(YEAR(NovSun1+13)=CalendarYear,MONTH(NovSun1+13)=11),NovSun1+13,""))</f>
        <v>45241</v>
      </c>
      <c r="I51" s="34">
        <f>IF(DAY(NovSun1)=1,IF(AND(YEAR(NovSun1+7)=CalendarYear,MONTH(NovSun1+7)=11),NovSun1+7,""),IF(AND(YEAR(NovSun1+14)=CalendarYear,MONTH(NovSun1+14)=11),NovSun1+14,""))</f>
        <v>45242</v>
      </c>
      <c r="K51" s="29">
        <f>IF(DAY(DecSun1)=1,IF(AND(YEAR(DecSun1+1)=CalendarYear,MONTH(DecSun1+1)=12),DecSun1+1,""),IF(AND(YEAR(DecSun1+8)=CalendarYear,MONTH(DecSun1+8)=12),DecSun1+8,""))</f>
        <v>45264</v>
      </c>
      <c r="L51" s="29">
        <f>IF(DAY(DecSun1)=1,IF(AND(YEAR(DecSun1+2)=CalendarYear,MONTH(DecSun1+2)=12),DecSun1+2,""),IF(AND(YEAR(DecSun1+9)=CalendarYear,MONTH(DecSun1+9)=12),DecSun1+9,""))</f>
        <v>45265</v>
      </c>
      <c r="M51" s="29">
        <f>IF(DAY(DecSun1)=1,IF(AND(YEAR(DecSun1+3)=CalendarYear,MONTH(DecSun1+3)=12),DecSun1+3,""),IF(AND(YEAR(DecSun1+10)=CalendarYear,MONTH(DecSun1+10)=12),DecSun1+10,""))</f>
        <v>45266</v>
      </c>
      <c r="N51" s="34">
        <f>IF(DAY(DecSun1)=1,IF(AND(YEAR(DecSun1+4)=CalendarYear,MONTH(DecSun1+4)=12),DecSun1+4,""),IF(AND(YEAR(DecSun1+11)=CalendarYear,MONTH(DecSun1+11)=12),DecSun1+11,""))</f>
        <v>45267</v>
      </c>
      <c r="O51" s="29">
        <f>IF(DAY(DecSun1)=1,IF(AND(YEAR(DecSun1+5)=CalendarYear,MONTH(DecSun1+5)=12),DecSun1+5,""),IF(AND(YEAR(DecSun1+12)=CalendarYear,MONTH(DecSun1+12)=12),DecSun1+12,""))</f>
        <v>45268</v>
      </c>
      <c r="P51" s="29">
        <f>IF(DAY(DecSun1)=1,IF(AND(YEAR(DecSun1+6)=CalendarYear,MONTH(DecSun1+6)=12),DecSun1+6,""),IF(AND(YEAR(DecSun1+13)=CalendarYear,MONTH(DecSun1+13)=12),DecSun1+13,""))</f>
        <v>45269</v>
      </c>
      <c r="Q51" s="34">
        <f>IF(DAY(DecSun1)=1,IF(AND(YEAR(DecSun1+7)=CalendarYear,MONTH(DecSun1+7)=12),DecSun1+7,""),IF(AND(YEAR(DecSun1+14)=CalendarYear,MONTH(DecSun1+14)=12),DecSun1+14,""))</f>
        <v>45270</v>
      </c>
      <c r="S51" s="5"/>
      <c r="U51" s="9"/>
    </row>
    <row r="52" spans="3:21" ht="15" customHeight="1" x14ac:dyDescent="0.2">
      <c r="C52" s="29">
        <f>IF(DAY(NovSun1)=1,IF(AND(YEAR(NovSun1+8)=CalendarYear,MONTH(NovSun1+8)=11),NovSun1+8,""),IF(AND(YEAR(NovSun1+15)=CalendarYear,MONTH(NovSun1+15)=11),NovSun1+15,""))</f>
        <v>45243</v>
      </c>
      <c r="D52" s="29">
        <f>IF(DAY(NovSun1)=1,IF(AND(YEAR(NovSun1+9)=CalendarYear,MONTH(NovSun1+9)=11),NovSun1+9,""),IF(AND(YEAR(NovSun1+16)=CalendarYear,MONTH(NovSun1+16)=11),NovSun1+16,""))</f>
        <v>45244</v>
      </c>
      <c r="E52" s="29">
        <f>IF(DAY(NovSun1)=1,IF(AND(YEAR(NovSun1+10)=CalendarYear,MONTH(NovSun1+10)=11),NovSun1+10,""),IF(AND(YEAR(NovSun1+17)=CalendarYear,MONTH(NovSun1+17)=11),NovSun1+17,""))</f>
        <v>45245</v>
      </c>
      <c r="F52" s="29">
        <f>IF(DAY(NovSun1)=1,IF(AND(YEAR(NovSun1+11)=CalendarYear,MONTH(NovSun1+11)=11),NovSun1+11,""),IF(AND(YEAR(NovSun1+18)=CalendarYear,MONTH(NovSun1+18)=11),NovSun1+18,""))</f>
        <v>45246</v>
      </c>
      <c r="G52" s="29">
        <f>IF(DAY(NovSun1)=1,IF(AND(YEAR(NovSun1+12)=CalendarYear,MONTH(NovSun1+12)=11),NovSun1+12,""),IF(AND(YEAR(NovSun1+19)=CalendarYear,MONTH(NovSun1+19)=11),NovSun1+19,""))</f>
        <v>45247</v>
      </c>
      <c r="H52" s="29">
        <f>IF(DAY(NovSun1)=1,IF(AND(YEAR(NovSun1+13)=CalendarYear,MONTH(NovSun1+13)=11),NovSun1+13,""),IF(AND(YEAR(NovSun1+20)=CalendarYear,MONTH(NovSun1+20)=11),NovSun1+20,""))</f>
        <v>45248</v>
      </c>
      <c r="I52" s="34">
        <f>IF(DAY(NovSun1)=1,IF(AND(YEAR(NovSun1+14)=CalendarYear,MONTH(NovSun1+14)=11),NovSun1+14,""),IF(AND(YEAR(NovSun1+21)=CalendarYear,MONTH(NovSun1+21)=11),NovSun1+21,""))</f>
        <v>45249</v>
      </c>
      <c r="K52" s="29">
        <f>IF(DAY(DecSun1)=1,IF(AND(YEAR(DecSun1+8)=CalendarYear,MONTH(DecSun1+8)=12),DecSun1+8,""),IF(AND(YEAR(DecSun1+15)=CalendarYear,MONTH(DecSun1+15)=12),DecSun1+15,""))</f>
        <v>45271</v>
      </c>
      <c r="L52" s="29">
        <f>IF(DAY(DecSun1)=1,IF(AND(YEAR(DecSun1+9)=CalendarYear,MONTH(DecSun1+9)=12),DecSun1+9,""),IF(AND(YEAR(DecSun1+16)=CalendarYear,MONTH(DecSun1+16)=12),DecSun1+16,""))</f>
        <v>45272</v>
      </c>
      <c r="M52" s="29">
        <f>IF(DAY(DecSun1)=1,IF(AND(YEAR(DecSun1+10)=CalendarYear,MONTH(DecSun1+10)=12),DecSun1+10,""),IF(AND(YEAR(DecSun1+17)=CalendarYear,MONTH(DecSun1+17)=12),DecSun1+17,""))</f>
        <v>45273</v>
      </c>
      <c r="N52" s="29">
        <f>IF(DAY(DecSun1)=1,IF(AND(YEAR(DecSun1+11)=CalendarYear,MONTH(DecSun1+11)=12),DecSun1+11,""),IF(AND(YEAR(DecSun1+18)=CalendarYear,MONTH(DecSun1+18)=12),DecSun1+18,""))</f>
        <v>45274</v>
      </c>
      <c r="O52" s="29">
        <f>IF(DAY(DecSun1)=1,IF(AND(YEAR(DecSun1+12)=CalendarYear,MONTH(DecSun1+12)=12),DecSun1+12,""),IF(AND(YEAR(DecSun1+19)=CalendarYear,MONTH(DecSun1+19)=12),DecSun1+19,""))</f>
        <v>45275</v>
      </c>
      <c r="P52" s="29">
        <f>IF(DAY(DecSun1)=1,IF(AND(YEAR(DecSun1+13)=CalendarYear,MONTH(DecSun1+13)=12),DecSun1+13,""),IF(AND(YEAR(DecSun1+20)=CalendarYear,MONTH(DecSun1+20)=12),DecSun1+20,""))</f>
        <v>45276</v>
      </c>
      <c r="Q52" s="34">
        <f>IF(DAY(DecSun1)=1,IF(AND(YEAR(DecSun1+14)=CalendarYear,MONTH(DecSun1+14)=12),DecSun1+14,""),IF(AND(YEAR(DecSun1+21)=CalendarYear,MONTH(DecSun1+21)=12),DecSun1+21,""))</f>
        <v>45277</v>
      </c>
      <c r="S52" s="5"/>
      <c r="U52" s="9"/>
    </row>
    <row r="53" spans="3:21" ht="15" customHeight="1" x14ac:dyDescent="0.2">
      <c r="C53" s="29">
        <f>IF(DAY(NovSun1)=1,IF(AND(YEAR(NovSun1+15)=CalendarYear,MONTH(NovSun1+15)=11),NovSun1+15,""),IF(AND(YEAR(NovSun1+22)=CalendarYear,MONTH(NovSun1+22)=11),NovSun1+22,""))</f>
        <v>45250</v>
      </c>
      <c r="D53" s="29">
        <f>IF(DAY(NovSun1)=1,IF(AND(YEAR(NovSun1+16)=CalendarYear,MONTH(NovSun1+16)=11),NovSun1+16,""),IF(AND(YEAR(NovSun1+23)=CalendarYear,MONTH(NovSun1+23)=11),NovSun1+23,""))</f>
        <v>45251</v>
      </c>
      <c r="E53" s="29">
        <f>IF(DAY(NovSun1)=1,IF(AND(YEAR(NovSun1+17)=CalendarYear,MONTH(NovSun1+17)=11),NovSun1+17,""),IF(AND(YEAR(NovSun1+24)=CalendarYear,MONTH(NovSun1+24)=11),NovSun1+24,""))</f>
        <v>45252</v>
      </c>
      <c r="F53" s="29">
        <f>IF(DAY(NovSun1)=1,IF(AND(YEAR(NovSun1+18)=CalendarYear,MONTH(NovSun1+18)=11),NovSun1+18,""),IF(AND(YEAR(NovSun1+25)=CalendarYear,MONTH(NovSun1+25)=11),NovSun1+25,""))</f>
        <v>45253</v>
      </c>
      <c r="G53" s="29">
        <f>IF(DAY(NovSun1)=1,IF(AND(YEAR(NovSun1+19)=CalendarYear,MONTH(NovSun1+19)=11),NovSun1+19,""),IF(AND(YEAR(NovSun1+26)=CalendarYear,MONTH(NovSun1+26)=11),NovSun1+26,""))</f>
        <v>45254</v>
      </c>
      <c r="H53" s="29">
        <f>IF(DAY(NovSun1)=1,IF(AND(YEAR(NovSun1+20)=CalendarYear,MONTH(NovSun1+20)=11),NovSun1+20,""),IF(AND(YEAR(NovSun1+27)=CalendarYear,MONTH(NovSun1+27)=11),NovSun1+27,""))</f>
        <v>45255</v>
      </c>
      <c r="I53" s="34">
        <f>IF(DAY(NovSun1)=1,IF(AND(YEAR(NovSun1+21)=CalendarYear,MONTH(NovSun1+21)=11),NovSun1+21,""),IF(AND(YEAR(NovSun1+28)=CalendarYear,MONTH(NovSun1+28)=11),NovSun1+28,""))</f>
        <v>45256</v>
      </c>
      <c r="K53" s="29">
        <f>IF(DAY(DecSun1)=1,IF(AND(YEAR(DecSun1+15)=CalendarYear,MONTH(DecSun1+15)=12),DecSun1+15,""),IF(AND(YEAR(DecSun1+22)=CalendarYear,MONTH(DecSun1+22)=12),DecSun1+22,""))</f>
        <v>45278</v>
      </c>
      <c r="L53" s="29">
        <f>IF(DAY(DecSun1)=1,IF(AND(YEAR(DecSun1+16)=CalendarYear,MONTH(DecSun1+16)=12),DecSun1+16,""),IF(AND(YEAR(DecSun1+23)=CalendarYear,MONTH(DecSun1+23)=12),DecSun1+23,""))</f>
        <v>45279</v>
      </c>
      <c r="M53" s="29">
        <f>IF(DAY(DecSun1)=1,IF(AND(YEAR(DecSun1+17)=CalendarYear,MONTH(DecSun1+17)=12),DecSun1+17,""),IF(AND(YEAR(DecSun1+24)=CalendarYear,MONTH(DecSun1+24)=12),DecSun1+24,""))</f>
        <v>45280</v>
      </c>
      <c r="N53" s="29">
        <f>IF(DAY(DecSun1)=1,IF(AND(YEAR(DecSun1+18)=CalendarYear,MONTH(DecSun1+18)=12),DecSun1+18,""),IF(AND(YEAR(DecSun1+25)=CalendarYear,MONTH(DecSun1+25)=12),DecSun1+25,""))</f>
        <v>45281</v>
      </c>
      <c r="O53" s="29">
        <f>IF(DAY(DecSun1)=1,IF(AND(YEAR(DecSun1+19)=CalendarYear,MONTH(DecSun1+19)=12),DecSun1+19,""),IF(AND(YEAR(DecSun1+26)=CalendarYear,MONTH(DecSun1+26)=12),DecSun1+26,""))</f>
        <v>45282</v>
      </c>
      <c r="P53" s="29">
        <f>IF(DAY(DecSun1)=1,IF(AND(YEAR(DecSun1+20)=CalendarYear,MONTH(DecSun1+20)=12),DecSun1+20,""),IF(AND(YEAR(DecSun1+27)=CalendarYear,MONTH(DecSun1+27)=12),DecSun1+27,""))</f>
        <v>45283</v>
      </c>
      <c r="Q53" s="34">
        <f>IF(DAY(DecSun1)=1,IF(AND(YEAR(DecSun1+21)=CalendarYear,MONTH(DecSun1+21)=12),DecSun1+21,""),IF(AND(YEAR(DecSun1+28)=CalendarYear,MONTH(DecSun1+28)=12),DecSun1+28,""))</f>
        <v>45284</v>
      </c>
      <c r="S53" s="5"/>
      <c r="U53" s="9"/>
    </row>
    <row r="54" spans="3:21" ht="15" customHeight="1" x14ac:dyDescent="0.2">
      <c r="C54" s="29">
        <f>IF(DAY(NovSun1)=1,IF(AND(YEAR(NovSun1+22)=CalendarYear,MONTH(NovSun1+22)=11),NovSun1+22,""),IF(AND(YEAR(NovSun1+29)=CalendarYear,MONTH(NovSun1+29)=11),NovSun1+29,""))</f>
        <v>45257</v>
      </c>
      <c r="D54" s="29">
        <f>IF(DAY(NovSun1)=1,IF(AND(YEAR(NovSun1+23)=CalendarYear,MONTH(NovSun1+23)=11),NovSun1+23,""),IF(AND(YEAR(NovSun1+30)=CalendarYear,MONTH(NovSun1+30)=11),NovSun1+30,""))</f>
        <v>45258</v>
      </c>
      <c r="E54" s="29">
        <f>IF(DAY(NovSun1)=1,IF(AND(YEAR(NovSun1+24)=CalendarYear,MONTH(NovSun1+24)=11),NovSun1+24,""),IF(AND(YEAR(NovSun1+31)=CalendarYear,MONTH(NovSun1+31)=11),NovSun1+31,""))</f>
        <v>45259</v>
      </c>
      <c r="F54" s="29">
        <f>IF(DAY(NovSun1)=1,IF(AND(YEAR(NovSun1+25)=CalendarYear,MONTH(NovSun1+25)=11),NovSun1+25,""),IF(AND(YEAR(NovSun1+32)=CalendarYear,MONTH(NovSun1+32)=11),NovSun1+32,""))</f>
        <v>45260</v>
      </c>
      <c r="G54" s="33" t="str">
        <f>IF(DAY(NovSun1)=1,IF(AND(YEAR(NovSun1+26)=CalendarYear,MONTH(NovSun1+26)=11),NovSun1+26,""),IF(AND(YEAR(NovSun1+33)=CalendarYear,MONTH(NovSun1+33)=11),NovSun1+33,""))</f>
        <v/>
      </c>
      <c r="H54" s="33" t="str">
        <f>IF(DAY(NovSun1)=1,IF(AND(YEAR(NovSun1+27)=CalendarYear,MONTH(NovSun1+27)=11),NovSun1+27,""),IF(AND(YEAR(NovSun1+34)=CalendarYear,MONTH(NovSun1+34)=11),NovSun1+34,""))</f>
        <v/>
      </c>
      <c r="I54" s="33" t="str">
        <f>IF(DAY(NovSun1)=1,IF(AND(YEAR(NovSun1+28)=CalendarYear,MONTH(NovSun1+28)=11),NovSun1+28,""),IF(AND(YEAR(NovSun1+35)=CalendarYear,MONTH(NovSun1+35)=11),NovSun1+35,""))</f>
        <v/>
      </c>
      <c r="K54" s="29">
        <f>IF(DAY(DecSun1)=1,IF(AND(YEAR(DecSun1+22)=CalendarYear,MONTH(DecSun1+22)=12),DecSun1+22,""),IF(AND(YEAR(DecSun1+29)=CalendarYear,MONTH(DecSun1+29)=12),DecSun1+29,""))</f>
        <v>45285</v>
      </c>
      <c r="L54" s="29">
        <f>IF(DAY(DecSun1)=1,IF(AND(YEAR(DecSun1+23)=CalendarYear,MONTH(DecSun1+23)=12),DecSun1+23,""),IF(AND(YEAR(DecSun1+30)=CalendarYear,MONTH(DecSun1+30)=12),DecSun1+30,""))</f>
        <v>45286</v>
      </c>
      <c r="M54" s="29">
        <f>IF(DAY(DecSun1)=1,IF(AND(YEAR(DecSun1+24)=CalendarYear,MONTH(DecSun1+24)=12),DecSun1+24,""),IF(AND(YEAR(DecSun1+31)=CalendarYear,MONTH(DecSun1+31)=12),DecSun1+31,""))</f>
        <v>45287</v>
      </c>
      <c r="N54" s="29">
        <f>IF(DAY(DecSun1)=1,IF(AND(YEAR(DecSun1+25)=CalendarYear,MONTH(DecSun1+25)=12),DecSun1+25,""),IF(AND(YEAR(DecSun1+32)=CalendarYear,MONTH(DecSun1+32)=12),DecSun1+32,""))</f>
        <v>45288</v>
      </c>
      <c r="O54" s="29">
        <f>IF(DAY(DecSun1)=1,IF(AND(YEAR(DecSun1+26)=CalendarYear,MONTH(DecSun1+26)=12),DecSun1+26,""),IF(AND(YEAR(DecSun1+33)=CalendarYear,MONTH(DecSun1+33)=12),DecSun1+33,""))</f>
        <v>45289</v>
      </c>
      <c r="P54" s="29">
        <f>IF(DAY(DecSun1)=1,IF(AND(YEAR(DecSun1+27)=CalendarYear,MONTH(DecSun1+27)=12),DecSun1+27,""),IF(AND(YEAR(DecSun1+34)=CalendarYear,MONTH(DecSun1+34)=12),DecSun1+34,""))</f>
        <v>45290</v>
      </c>
      <c r="Q54" s="34">
        <f>IF(DAY(DecSun1)=1,IF(AND(YEAR(DecSun1+28)=CalendarYear,MONTH(DecSun1+28)=12),DecSun1+28,""),IF(AND(YEAR(DecSun1+35)=CalendarYear,MONTH(DecSun1+35)=12),DecSun1+35,""))</f>
        <v>45291</v>
      </c>
      <c r="S54" s="5"/>
      <c r="U54" s="9"/>
    </row>
    <row r="55" spans="3:21" ht="15" customHeight="1" x14ac:dyDescent="0.2">
      <c r="C55" s="3" t="s">
        <v>9</v>
      </c>
      <c r="D55" s="3" t="s">
        <v>9</v>
      </c>
      <c r="E55" s="3" t="s">
        <v>9</v>
      </c>
      <c r="F55" s="3" t="s">
        <v>9</v>
      </c>
      <c r="G55" s="3" t="s">
        <v>9</v>
      </c>
      <c r="H55" s="3" t="s">
        <v>9</v>
      </c>
      <c r="I55" s="3" t="s">
        <v>9</v>
      </c>
      <c r="K55" s="3" t="s">
        <v>9</v>
      </c>
      <c r="L55" s="3" t="s">
        <v>9</v>
      </c>
      <c r="M55" s="3" t="s">
        <v>9</v>
      </c>
      <c r="N55" s="3" t="s">
        <v>9</v>
      </c>
      <c r="O55" s="3" t="s">
        <v>9</v>
      </c>
      <c r="P55" s="3" t="s">
        <v>9</v>
      </c>
      <c r="Q55" s="3" t="s">
        <v>9</v>
      </c>
      <c r="S55" s="5"/>
      <c r="U55" s="9"/>
    </row>
    <row r="56" spans="3:21" ht="15" customHeight="1" x14ac:dyDescent="0.2">
      <c r="U56" s="9"/>
    </row>
    <row r="57" spans="3:21" ht="15" customHeight="1" x14ac:dyDescent="0.2">
      <c r="L57" s="28"/>
      <c r="U57" s="9"/>
    </row>
    <row r="58" spans="3:21" ht="15" customHeight="1" x14ac:dyDescent="0.2"/>
    <row r="59" spans="3:21" ht="15" customHeight="1" x14ac:dyDescent="0.2"/>
    <row r="60" spans="3:21" ht="15" customHeight="1" x14ac:dyDescent="0.2"/>
    <row r="61" spans="3:21" ht="15" customHeight="1" x14ac:dyDescent="0.2"/>
    <row r="62" spans="3:21" ht="15" customHeight="1" x14ac:dyDescent="0.2"/>
    <row r="63" spans="3:21" ht="15" customHeight="1" x14ac:dyDescent="0.2"/>
    <row r="64" spans="3:21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</sheetData>
  <mergeCells count="2">
    <mergeCell ref="C1:F1"/>
    <mergeCell ref="U20:U21"/>
  </mergeCells>
  <phoneticPr fontId="1" type="noConversion"/>
  <dataValidations count="1">
    <dataValidation allowBlank="1" showInputMessage="1" showErrorMessage="1" errorTitle="Invalid Year" error="Enter a year from 1900 to 9999, or use the scroll bar to find a year." sqref="C1" xr:uid="{00000000-0002-0000-0000-000000000000}"/>
  </dataValidations>
  <hyperlinks>
    <hyperlink ref="U49" r:id="rId1" display="mailto:fischerhuette@fischereiverein.ch" xr:uid="{06AA59DF-2683-4547-9656-81C04A6FAF1D}"/>
    <hyperlink ref="U48" r:id="rId2" xr:uid="{2604A3C4-5B45-4A1F-9EB3-BFA643A25BBF}"/>
  </hyperlinks>
  <printOptions horizontalCentered="1" verticalCentered="1"/>
  <pageMargins left="0.5" right="0.5" top="0.5" bottom="0.5" header="0.3" footer="0.3"/>
  <pageSetup scale="82" orientation="portrait" horizontalDpi="4294967295" verticalDpi="4294967295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3" r:id="rId6" name="Spinner">
              <controlPr defaultSize="0" print="0" autoPict="0" altText="Use the spinner button to change calendar year or enter year in cell B1.">
                <anchor moveWithCells="1">
                  <from>
                    <xdr:col>1</xdr:col>
                    <xdr:colOff>114300</xdr:colOff>
                    <xdr:row>0</xdr:row>
                    <xdr:rowOff>38100</xdr:rowOff>
                  </from>
                  <to>
                    <xdr:col>1</xdr:col>
                    <xdr:colOff>266700</xdr:colOff>
                    <xdr:row>0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37696D9D1D95EC45A9440548E782419D04008C4669C20C93454ABB50E332FADBDDBE" ma:contentTypeVersion="55" ma:contentTypeDescription="Create a new document." ma:contentTypeScope="" ma:versionID="0862fa1d3c98dca9116b8c2bbf050b2c">
  <xsd:schema xmlns:xsd="http://www.w3.org/2001/XMLSchema" xmlns:xs="http://www.w3.org/2001/XMLSchema" xmlns:p="http://schemas.microsoft.com/office/2006/metadata/properties" xmlns:ns2="f105ad54-119a-4495-aa55-0e28b6b4ad2f" xmlns:ns3="c7af2036-029c-470e-8042-297c68a41472" targetNamespace="http://schemas.microsoft.com/office/2006/metadata/properties" ma:root="true" ma:fieldsID="efcf89ea05a71204977c7c6a0a118372" ns2:_="" ns3:_="">
    <xsd:import namespace="f105ad54-119a-4495-aa55-0e28b6b4ad2f"/>
    <xsd:import namespace="c7af2036-029c-470e-8042-297c68a41472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  <xsd:element ref="ns3:Description0" minOccurs="0"/>
                <xsd:element ref="ns3:Compone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05ad54-119a-4495-aa55-0e28b6b4ad2f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fcc66ca1-c804-4edc-95c8-efd5040409e2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77ED1C39-458B-43CB-92CF-2BB5034D6716}" ma:internalName="CSXSubmissionMarket" ma:readOnly="false" ma:showField="MarketName" ma:web="f105ad54-119a-4495-aa55-0e28b6b4ad2f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6cd481e8-ffbe-48c6-a0d2-a06a66f62d0e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48E76E2C-5BED-4E0E-9D91-D053B66F5ED2}" ma:internalName="InProjectListLookup" ma:readOnly="true" ma:showField="InProjectList" ma:web="f105ad54-119a-4495-aa55-0e28b6b4ad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49953ee0-cdd8-4a42-ac76-36ba2a8fee2f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48E76E2C-5BED-4E0E-9D91-D053B66F5ED2}" ma:internalName="LastCompleteVersionLookup" ma:readOnly="true" ma:showField="LastCompleteVersion" ma:web="f105ad54-119a-4495-aa55-0e28b6b4ad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48E76E2C-5BED-4E0E-9D91-D053B66F5ED2}" ma:internalName="LastPreviewErrorLookup" ma:readOnly="true" ma:showField="LastPreviewError" ma:web="f105ad54-119a-4495-aa55-0e28b6b4ad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48E76E2C-5BED-4E0E-9D91-D053B66F5ED2}" ma:internalName="LastPreviewResultLookup" ma:readOnly="true" ma:showField="LastPreviewResult" ma:web="f105ad54-119a-4495-aa55-0e28b6b4ad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48E76E2C-5BED-4E0E-9D91-D053B66F5ED2}" ma:internalName="LastPreviewAttemptDateLookup" ma:readOnly="true" ma:showField="LastPreviewAttemptDate" ma:web="f105ad54-119a-4495-aa55-0e28b6b4ad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48E76E2C-5BED-4E0E-9D91-D053B66F5ED2}" ma:internalName="LastPreviewedByLookup" ma:readOnly="true" ma:showField="LastPreviewedBy" ma:web="f105ad54-119a-4495-aa55-0e28b6b4ad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48E76E2C-5BED-4E0E-9D91-D053B66F5ED2}" ma:internalName="LastPreviewTimeLookup" ma:readOnly="true" ma:showField="LastPreviewTime" ma:web="f105ad54-119a-4495-aa55-0e28b6b4ad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48E76E2C-5BED-4E0E-9D91-D053B66F5ED2}" ma:internalName="LastPreviewVersionLookup" ma:readOnly="true" ma:showField="LastPreviewVersion" ma:web="f105ad54-119a-4495-aa55-0e28b6b4ad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48E76E2C-5BED-4E0E-9D91-D053B66F5ED2}" ma:internalName="LastPublishErrorLookup" ma:readOnly="true" ma:showField="LastPublishError" ma:web="f105ad54-119a-4495-aa55-0e28b6b4ad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48E76E2C-5BED-4E0E-9D91-D053B66F5ED2}" ma:internalName="LastPublishResultLookup" ma:readOnly="true" ma:showField="LastPublishResult" ma:web="f105ad54-119a-4495-aa55-0e28b6b4ad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48E76E2C-5BED-4E0E-9D91-D053B66F5ED2}" ma:internalName="LastPublishAttemptDateLookup" ma:readOnly="true" ma:showField="LastPublishAttemptDate" ma:web="f105ad54-119a-4495-aa55-0e28b6b4ad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48E76E2C-5BED-4E0E-9D91-D053B66F5ED2}" ma:internalName="LastPublishedByLookup" ma:readOnly="true" ma:showField="LastPublishedBy" ma:web="f105ad54-119a-4495-aa55-0e28b6b4ad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48E76E2C-5BED-4E0E-9D91-D053B66F5ED2}" ma:internalName="LastPublishTimeLookup" ma:readOnly="true" ma:showField="LastPublishTime" ma:web="f105ad54-119a-4495-aa55-0e28b6b4ad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48E76E2C-5BED-4E0E-9D91-D053B66F5ED2}" ma:internalName="LastPublishVersionLookup" ma:readOnly="true" ma:showField="LastPublishVersion" ma:web="f105ad54-119a-4495-aa55-0e28b6b4ad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F611A6F9-FC3A-482F-805C-5B55AA6502C0}" ma:internalName="LocLastLocAttemptVersionLookup" ma:readOnly="false" ma:showField="LastLocAttemptVersion" ma:web="f105ad54-119a-4495-aa55-0e28b6b4ad2f">
      <xsd:simpleType>
        <xsd:restriction base="dms:Lookup"/>
      </xsd:simpleType>
    </xsd:element>
    <xsd:element name="LocLastLocAttemptVersionTypeLookup" ma:index="72" nillable="true" ma:displayName="Loc Last Loc Attempt Version Type" ma:default="" ma:list="{F611A6F9-FC3A-482F-805C-5B55AA6502C0}" ma:internalName="LocLastLocAttemptVersionTypeLookup" ma:readOnly="true" ma:showField="LastLocAttemptVersionType" ma:web="f105ad54-119a-4495-aa55-0e28b6b4ad2f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F611A6F9-FC3A-482F-805C-5B55AA6502C0}" ma:internalName="LocNewPublishedVersionLookup" ma:readOnly="true" ma:showField="NewPublishedVersion" ma:web="f105ad54-119a-4495-aa55-0e28b6b4ad2f">
      <xsd:simpleType>
        <xsd:restriction base="dms:Lookup"/>
      </xsd:simpleType>
    </xsd:element>
    <xsd:element name="LocOverallHandbackStatusLookup" ma:index="76" nillable="true" ma:displayName="Loc Overall Handback Status" ma:default="" ma:list="{F611A6F9-FC3A-482F-805C-5B55AA6502C0}" ma:internalName="LocOverallHandbackStatusLookup" ma:readOnly="true" ma:showField="OverallHandbackStatus" ma:web="f105ad54-119a-4495-aa55-0e28b6b4ad2f">
      <xsd:simpleType>
        <xsd:restriction base="dms:Lookup"/>
      </xsd:simpleType>
    </xsd:element>
    <xsd:element name="LocOverallLocStatusLookup" ma:index="77" nillable="true" ma:displayName="Loc Overall Localize Status" ma:default="" ma:list="{F611A6F9-FC3A-482F-805C-5B55AA6502C0}" ma:internalName="LocOverallLocStatusLookup" ma:readOnly="true" ma:showField="OverallLocStatus" ma:web="f105ad54-119a-4495-aa55-0e28b6b4ad2f">
      <xsd:simpleType>
        <xsd:restriction base="dms:Lookup"/>
      </xsd:simpleType>
    </xsd:element>
    <xsd:element name="LocOverallPreviewStatusLookup" ma:index="78" nillable="true" ma:displayName="Loc Overall Preview Status" ma:default="" ma:list="{F611A6F9-FC3A-482F-805C-5B55AA6502C0}" ma:internalName="LocOverallPreviewStatusLookup" ma:readOnly="true" ma:showField="OverallPreviewStatus" ma:web="f105ad54-119a-4495-aa55-0e28b6b4ad2f">
      <xsd:simpleType>
        <xsd:restriction base="dms:Lookup"/>
      </xsd:simpleType>
    </xsd:element>
    <xsd:element name="LocOverallPublishStatusLookup" ma:index="79" nillable="true" ma:displayName="Loc Overall Publish Status" ma:default="" ma:list="{F611A6F9-FC3A-482F-805C-5B55AA6502C0}" ma:internalName="LocOverallPublishStatusLookup" ma:readOnly="true" ma:showField="OverallPublishStatus" ma:web="f105ad54-119a-4495-aa55-0e28b6b4ad2f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F611A6F9-FC3A-482F-805C-5B55AA6502C0}" ma:internalName="LocProcessedForHandoffsLookup" ma:readOnly="true" ma:showField="ProcessedForHandoffs" ma:web="f105ad54-119a-4495-aa55-0e28b6b4ad2f">
      <xsd:simpleType>
        <xsd:restriction base="dms:Lookup"/>
      </xsd:simpleType>
    </xsd:element>
    <xsd:element name="LocProcessedForMarketsLookup" ma:index="82" nillable="true" ma:displayName="Loc Processed For Markets" ma:default="" ma:list="{F611A6F9-FC3A-482F-805C-5B55AA6502C0}" ma:internalName="LocProcessedForMarketsLookup" ma:readOnly="true" ma:showField="ProcessedForMarkets" ma:web="f105ad54-119a-4495-aa55-0e28b6b4ad2f">
      <xsd:simpleType>
        <xsd:restriction base="dms:Lookup"/>
      </xsd:simpleType>
    </xsd:element>
    <xsd:element name="LocPublishedDependentAssetsLookup" ma:index="83" nillable="true" ma:displayName="Loc Published Dependent Assets" ma:default="" ma:list="{F611A6F9-FC3A-482F-805C-5B55AA6502C0}" ma:internalName="LocPublishedDependentAssetsLookup" ma:readOnly="true" ma:showField="PublishedDependentAssets" ma:web="f105ad54-119a-4495-aa55-0e28b6b4ad2f">
      <xsd:simpleType>
        <xsd:restriction base="dms:Lookup"/>
      </xsd:simpleType>
    </xsd:element>
    <xsd:element name="LocPublishedLinkedAssetsLookup" ma:index="84" nillable="true" ma:displayName="Loc Published Linked Assets" ma:default="" ma:list="{F611A6F9-FC3A-482F-805C-5B55AA6502C0}" ma:internalName="LocPublishedLinkedAssetsLookup" ma:readOnly="true" ma:showField="PublishedLinkedAssets" ma:web="f105ad54-119a-4495-aa55-0e28b6b4ad2f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e3ccb7f3-e095-4e60-89e4-99358a9e407b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77ED1C39-458B-43CB-92CF-2BB5034D6716}" ma:internalName="Markets" ma:readOnly="false" ma:showField="MarketName" ma:web="f105ad54-119a-4495-aa55-0e28b6b4ad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48E76E2C-5BED-4E0E-9D91-D053B66F5ED2}" ma:internalName="NumOfRatingsLookup" ma:readOnly="true" ma:showField="NumOfRatings" ma:web="f105ad54-119a-4495-aa55-0e28b6b4ad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48E76E2C-5BED-4E0E-9D91-D053B66F5ED2}" ma:internalName="PublishStatusLookup" ma:readOnly="false" ma:showField="PublishStatus" ma:web="f105ad54-119a-4495-aa55-0e28b6b4ad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faf1e1af-89ff-457d-b189-64e47bbed779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14d3419f-9772-4c8d-a0a0-05446c45e95f}" ma:internalName="TaxCatchAll" ma:showField="CatchAllData" ma:web="f105ad54-119a-4495-aa55-0e28b6b4ad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14d3419f-9772-4c8d-a0a0-05446c45e95f}" ma:internalName="TaxCatchAllLabel" ma:readOnly="true" ma:showField="CatchAllDataLabel" ma:web="f105ad54-119a-4495-aa55-0e28b6b4ad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af2036-029c-470e-8042-297c68a41472" elementFormDefault="qualified">
    <xsd:import namespace="http://schemas.microsoft.com/office/2006/documentManagement/types"/>
    <xsd:import namespace="http://schemas.microsoft.com/office/infopath/2007/PartnerControls"/>
    <xsd:element name="Description0" ma:index="134" nillable="true" ma:displayName="Description" ma:internalName="Description0">
      <xsd:simpleType>
        <xsd:restriction base="dms:Note"/>
      </xsd:simpleType>
    </xsd:element>
    <xsd:element name="Component" ma:index="135" nillable="true" ma:displayName="Component" ma:internalName="Component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PExecutable xmlns="f105ad54-119a-4495-aa55-0e28b6b4ad2f" xsi:nil="true"/>
    <DirectSourceMarket xmlns="f105ad54-119a-4495-aa55-0e28b6b4ad2f">english</DirectSourceMarket>
    <ThumbnailAssetId xmlns="f105ad54-119a-4495-aa55-0e28b6b4ad2f" xsi:nil="true"/>
    <AssetType xmlns="f105ad54-119a-4495-aa55-0e28b6b4ad2f">TP</AssetType>
    <Milestone xmlns="f105ad54-119a-4495-aa55-0e28b6b4ad2f" xsi:nil="true"/>
    <OriginAsset xmlns="f105ad54-119a-4495-aa55-0e28b6b4ad2f" xsi:nil="true"/>
    <TPComponent xmlns="f105ad54-119a-4495-aa55-0e28b6b4ad2f" xsi:nil="true"/>
    <AssetId xmlns="f105ad54-119a-4495-aa55-0e28b6b4ad2f">TP102551231</AssetId>
    <TPFriendlyName xmlns="f105ad54-119a-4495-aa55-0e28b6b4ad2f" xsi:nil="true"/>
    <SourceTitle xmlns="f105ad54-119a-4495-aa55-0e28b6b4ad2f" xsi:nil="true"/>
    <TPApplication xmlns="f105ad54-119a-4495-aa55-0e28b6b4ad2f" xsi:nil="true"/>
    <TPLaunchHelpLink xmlns="f105ad54-119a-4495-aa55-0e28b6b4ad2f" xsi:nil="true"/>
    <OpenTemplate xmlns="f105ad54-119a-4495-aa55-0e28b6b4ad2f">true</OpenTemplate>
    <CrawlForDependencies xmlns="f105ad54-119a-4495-aa55-0e28b6b4ad2f">false</CrawlForDependencies>
    <TrustLevel xmlns="f105ad54-119a-4495-aa55-0e28b6b4ad2f">1 Microsoft Managed Content</TrustLevel>
    <PublishStatusLookup xmlns="f105ad54-119a-4495-aa55-0e28b6b4ad2f">
      <Value>378879</Value>
      <Value>520310</Value>
    </PublishStatusLookup>
    <LocLastLocAttemptVersionLookup xmlns="f105ad54-119a-4495-aa55-0e28b6b4ad2f">58084</LocLastLocAttemptVersionLookup>
    <TemplateTemplateType xmlns="f105ad54-119a-4495-aa55-0e28b6b4ad2f">Excel Chart Template</TemplateTemplateType>
    <TPNamespace xmlns="f105ad54-119a-4495-aa55-0e28b6b4ad2f" xsi:nil="true"/>
    <Markets xmlns="f105ad54-119a-4495-aa55-0e28b6b4ad2f"/>
    <OriginalSourceMarket xmlns="f105ad54-119a-4495-aa55-0e28b6b4ad2f">english</OriginalSourceMarket>
    <TPInstallLocation xmlns="f105ad54-119a-4495-aa55-0e28b6b4ad2f" xsi:nil="true"/>
    <TPAppVersion xmlns="f105ad54-119a-4495-aa55-0e28b6b4ad2f" xsi:nil="true"/>
    <TPCommandLine xmlns="f105ad54-119a-4495-aa55-0e28b6b4ad2f" xsi:nil="true"/>
    <APAuthor xmlns="f105ad54-119a-4495-aa55-0e28b6b4ad2f">
      <UserInfo>
        <DisplayName>System Account</DisplayName>
        <AccountId>1073741823</AccountId>
        <AccountType/>
      </UserInfo>
    </APAuthor>
    <EditorialStatus xmlns="f105ad54-119a-4495-aa55-0e28b6b4ad2f" xsi:nil="true"/>
    <PublishTargets xmlns="f105ad54-119a-4495-aa55-0e28b6b4ad2f">OfficeOnline</PublishTargets>
    <TPLaunchHelpLinkType xmlns="f105ad54-119a-4495-aa55-0e28b6b4ad2f">Template</TPLaunchHelpLinkType>
    <TPClientViewer xmlns="f105ad54-119a-4495-aa55-0e28b6b4ad2f" xsi:nil="true"/>
    <CSXHash xmlns="f105ad54-119a-4495-aa55-0e28b6b4ad2f" xsi:nil="true"/>
    <IsDeleted xmlns="f105ad54-119a-4495-aa55-0e28b6b4ad2f">false</IsDeleted>
    <UANotes xmlns="f105ad54-119a-4495-aa55-0e28b6b4ad2f" xsi:nil="true"/>
    <TemplateStatus xmlns="f105ad54-119a-4495-aa55-0e28b6b4ad2f" xsi:nil="true"/>
    <Downloads xmlns="f105ad54-119a-4495-aa55-0e28b6b4ad2f">0</Downloads>
    <ApprovalStatus xmlns="f105ad54-119a-4495-aa55-0e28b6b4ad2f">InProgress</ApprovalStatus>
    <EditorialTags xmlns="f105ad54-119a-4495-aa55-0e28b6b4ad2f" xsi:nil="true"/>
    <InternalTagsTaxHTField0 xmlns="f105ad54-119a-4495-aa55-0e28b6b4ad2f">
      <Terms xmlns="http://schemas.microsoft.com/office/infopath/2007/PartnerControls"/>
    </InternalTagsTaxHTField0>
    <LastModifiedDateTime xmlns="f105ad54-119a-4495-aa55-0e28b6b4ad2f" xsi:nil="true"/>
    <UACurrentWords xmlns="f105ad54-119a-4495-aa55-0e28b6b4ad2f" xsi:nil="true"/>
    <CampaignTagsTaxHTField0 xmlns="f105ad54-119a-4495-aa55-0e28b6b4ad2f">
      <Terms xmlns="http://schemas.microsoft.com/office/infopath/2007/PartnerControls"/>
    </CampaignTagsTaxHTField0>
    <DSATActionTaken xmlns="f105ad54-119a-4495-aa55-0e28b6b4ad2f" xsi:nil="true"/>
    <LocNewPublishedVersionLookup xmlns="f105ad54-119a-4495-aa55-0e28b6b4ad2f" xsi:nil="true"/>
    <LocPublishedDependentAssetsLookup xmlns="f105ad54-119a-4495-aa55-0e28b6b4ad2f" xsi:nil="true"/>
    <NumericId xmlns="f105ad54-119a-4495-aa55-0e28b6b4ad2f" xsi:nil="true"/>
    <OutputCachingOn xmlns="f105ad54-119a-4495-aa55-0e28b6b4ad2f">false</OutputCachingOn>
    <ParentAssetId xmlns="f105ad54-119a-4495-aa55-0e28b6b4ad2f" xsi:nil="true"/>
    <SubmitterId xmlns="f105ad54-119a-4495-aa55-0e28b6b4ad2f" xsi:nil="true"/>
    <MarketSpecific xmlns="f105ad54-119a-4495-aa55-0e28b6b4ad2f" xsi:nil="true"/>
    <LocManualTestRequired xmlns="f105ad54-119a-4495-aa55-0e28b6b4ad2f" xsi:nil="true"/>
    <Providers xmlns="f105ad54-119a-4495-aa55-0e28b6b4ad2f" xsi:nil="true"/>
    <VoteCount xmlns="f105ad54-119a-4495-aa55-0e28b6b4ad2f" xsi:nil="true"/>
    <ContentItem xmlns="f105ad54-119a-4495-aa55-0e28b6b4ad2f" xsi:nil="true"/>
    <ShowIn xmlns="f105ad54-119a-4495-aa55-0e28b6b4ad2f">Show everywhere</ShowIn>
    <AssetExpire xmlns="f105ad54-119a-4495-aa55-0e28b6b4ad2f">2100-01-01T00:00:00+00:00</AssetExpire>
    <IntlLangReview xmlns="f105ad54-119a-4495-aa55-0e28b6b4ad2f" xsi:nil="true"/>
    <LocLastLocAttemptVersionTypeLookup xmlns="f105ad54-119a-4495-aa55-0e28b6b4ad2f" xsi:nil="true"/>
    <MachineTranslated xmlns="f105ad54-119a-4495-aa55-0e28b6b4ad2f">false</MachineTranslated>
    <PlannedPubDate xmlns="f105ad54-119a-4495-aa55-0e28b6b4ad2f" xsi:nil="true"/>
    <AverageRating xmlns="f105ad54-119a-4495-aa55-0e28b6b4ad2f" xsi:nil="true"/>
    <CSXUpdate xmlns="f105ad54-119a-4495-aa55-0e28b6b4ad2f">false</CSXUpdate>
    <APDescription xmlns="f105ad54-119a-4495-aa55-0e28b6b4ad2f" xsi:nil="true"/>
    <LocOverallPublishStatusLookup xmlns="f105ad54-119a-4495-aa55-0e28b6b4ad2f" xsi:nil="true"/>
    <LocPublishedLinkedAssetsLookup xmlns="f105ad54-119a-4495-aa55-0e28b6b4ad2f" xsi:nil="true"/>
    <Provider xmlns="f105ad54-119a-4495-aa55-0e28b6b4ad2f" xsi:nil="true"/>
    <TaxCatchAll xmlns="f105ad54-119a-4495-aa55-0e28b6b4ad2f"/>
    <AssetStart xmlns="f105ad54-119a-4495-aa55-0e28b6b4ad2f">2011-06-01T14:19:41+00:00</AssetStart>
    <BugNumber xmlns="f105ad54-119a-4495-aa55-0e28b6b4ad2f" xsi:nil="true"/>
    <LegacyData xmlns="f105ad54-119a-4495-aa55-0e28b6b4ad2f" xsi:nil="true"/>
    <LocComments xmlns="f105ad54-119a-4495-aa55-0e28b6b4ad2f" xsi:nil="true"/>
    <LocProcessedForHandoffsLookup xmlns="f105ad54-119a-4495-aa55-0e28b6b4ad2f" xsi:nil="true"/>
    <LocProcessedForMarketsLookup xmlns="f105ad54-119a-4495-aa55-0e28b6b4ad2f" xsi:nil="true"/>
    <LocOverallHandbackStatusLookup xmlns="f105ad54-119a-4495-aa55-0e28b6b4ad2f" xsi:nil="true"/>
    <IntlLangReviewDate xmlns="f105ad54-119a-4495-aa55-0e28b6b4ad2f" xsi:nil="true"/>
    <ClipArtFilename xmlns="f105ad54-119a-4495-aa55-0e28b6b4ad2f" xsi:nil="true"/>
    <FeatureTagsTaxHTField0 xmlns="f105ad54-119a-4495-aa55-0e28b6b4ad2f">
      <Terms xmlns="http://schemas.microsoft.com/office/infopath/2007/PartnerControls"/>
    </FeatureTagsTaxHTField0>
    <LocOverallPreviewStatusLookup xmlns="f105ad54-119a-4495-aa55-0e28b6b4ad2f" xsi:nil="true"/>
    <ApprovalLog xmlns="f105ad54-119a-4495-aa55-0e28b6b4ad2f" xsi:nil="true"/>
    <BlockPublish xmlns="f105ad54-119a-4495-aa55-0e28b6b4ad2f" xsi:nil="true"/>
    <Component xmlns="c7af2036-029c-470e-8042-297c68a41472" xsi:nil="true"/>
    <LastHandOff xmlns="f105ad54-119a-4495-aa55-0e28b6b4ad2f" xsi:nil="true"/>
    <LocalizationTagsTaxHTField0 xmlns="f105ad54-119a-4495-aa55-0e28b6b4ad2f">
      <Terms xmlns="http://schemas.microsoft.com/office/infopath/2007/PartnerControls"/>
    </LocalizationTagsTaxHTField0>
    <ScenarioTagsTaxHTField0 xmlns="f105ad54-119a-4495-aa55-0e28b6b4ad2f">
      <Terms xmlns="http://schemas.microsoft.com/office/infopath/2007/PartnerControls"/>
    </ScenarioTagsTaxHTField0>
    <TimesCloned xmlns="f105ad54-119a-4495-aa55-0e28b6b4ad2f" xsi:nil="true"/>
    <CSXSubmissionMarket xmlns="f105ad54-119a-4495-aa55-0e28b6b4ad2f" xsi:nil="true"/>
    <HandoffToMSDN xmlns="f105ad54-119a-4495-aa55-0e28b6b4ad2f" xsi:nil="true"/>
    <UALocRecommendation xmlns="f105ad54-119a-4495-aa55-0e28b6b4ad2f">Localize</UALocRecommendation>
    <Description0 xmlns="c7af2036-029c-470e-8042-297c68a41472" xsi:nil="true"/>
    <OOCacheId xmlns="f105ad54-119a-4495-aa55-0e28b6b4ad2f" xsi:nil="true"/>
    <IntlLangReviewer xmlns="f105ad54-119a-4495-aa55-0e28b6b4ad2f" xsi:nil="true"/>
    <LocOverallLocStatusLookup xmlns="f105ad54-119a-4495-aa55-0e28b6b4ad2f" xsi:nil="true"/>
    <IntlLocPriority xmlns="f105ad54-119a-4495-aa55-0e28b6b4ad2f" xsi:nil="true"/>
    <CSXSubmissionDate xmlns="f105ad54-119a-4495-aa55-0e28b6b4ad2f" xsi:nil="true"/>
    <FriendlyTitle xmlns="f105ad54-119a-4495-aa55-0e28b6b4ad2f" xsi:nil="true"/>
    <LastPublishResultLookup xmlns="f105ad54-119a-4495-aa55-0e28b6b4ad2f" xsi:nil="true"/>
    <LocRecommendedHandoff xmlns="f105ad54-119a-4495-aa55-0e28b6b4ad2f" xsi:nil="true"/>
    <BusinessGroup xmlns="f105ad54-119a-4495-aa55-0e28b6b4ad2f" xsi:nil="true"/>
    <RecommendationsModifier xmlns="f105ad54-119a-4495-aa55-0e28b6b4ad2f" xsi:nil="true"/>
    <AcquiredFrom xmlns="f105ad54-119a-4495-aa55-0e28b6b4ad2f">Internal MS</AcquiredFrom>
    <IsSearchable xmlns="f105ad54-119a-4495-aa55-0e28b6b4ad2f">false</IsSearchable>
    <ArtSampleDocs xmlns="f105ad54-119a-4495-aa55-0e28b6b4ad2f" xsi:nil="true"/>
    <UALocComments xmlns="f105ad54-119a-4495-aa55-0e28b6b4ad2f" xsi:nil="true"/>
    <APEditor xmlns="f105ad54-119a-4495-aa55-0e28b6b4ad2f">
      <UserInfo>
        <DisplayName/>
        <AccountId xsi:nil="true"/>
        <AccountType/>
      </UserInfo>
    </APEditor>
    <PrimaryImageGen xmlns="f105ad54-119a-4495-aa55-0e28b6b4ad2f">false</PrimaryImageGen>
    <Manager xmlns="f105ad54-119a-4495-aa55-0e28b6b4ad2f" xsi:nil="true"/>
    <PolicheckWords xmlns="f105ad54-119a-4495-aa55-0e28b6b4ad2f" xsi:nil="true"/>
    <UAProjectedTotalWords xmlns="f105ad54-119a-4495-aa55-0e28b6b4ad2f" xsi:nil="true"/>
    <OriginalRelease xmlns="f105ad54-119a-4495-aa55-0e28b6b4ad2f">14</OriginalRelease>
    <LocMarketGroupTiers2 xmlns="f105ad54-119a-4495-aa55-0e28b6b4ad2f" xsi:nil="true"/>
  </documentManagement>
</p:properties>
</file>

<file path=customXml/itemProps1.xml><?xml version="1.0" encoding="utf-8"?>
<ds:datastoreItem xmlns:ds="http://schemas.openxmlformats.org/officeDocument/2006/customXml" ds:itemID="{2DF464A8-D38D-4E18-B745-DA993EE2FC2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B027111-F7CA-4974-9242-F140957A76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05ad54-119a-4495-aa55-0e28b6b4ad2f"/>
    <ds:schemaRef ds:uri="c7af2036-029c-470e-8042-297c68a414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8BCBFF4-09FF-4845-95F4-469196E333CE}">
  <ds:schemaRefs>
    <ds:schemaRef ds:uri="http://schemas.microsoft.com/office/2006/metadata/properties"/>
    <ds:schemaRef ds:uri="http://schemas.microsoft.com/office/infopath/2007/PartnerControls"/>
    <ds:schemaRef ds:uri="f105ad54-119a-4495-aa55-0e28b6b4ad2f"/>
    <ds:schemaRef ds:uri="c7af2036-029c-470e-8042-297c68a4147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Jahreskalender</vt:lpstr>
      <vt:lpstr>CalendarYear</vt:lpstr>
      <vt:lpstr>Jahreskalender!Druckbereich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2011-06-01T11:48:55Z</dcterms:created>
  <dcterms:modified xsi:type="dcterms:W3CDTF">2022-10-11T19:09:17Z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0x01010037696D9D1D95EC45A9440548E782419D04008C4669C20C93454ABB50E332FADBDDBE</vt:lpwstr>
  </property>
  <property fmtid="{D5CDD505-2E9C-101B-9397-08002B2CF9AE}" pid="3" name="Order">
    <vt:r8>12874100</vt:r8>
  </property>
  <property fmtid="{D5CDD505-2E9C-101B-9397-08002B2CF9AE}" pid="4" name="HiddenCategoryTags">
    <vt:lpwstr/>
  </property>
  <property fmtid="{D5CDD505-2E9C-101B-9397-08002B2CF9AE}" pid="5" name="InternalTags">
    <vt:lpwstr/>
  </property>
  <property fmtid="{D5CDD505-2E9C-101B-9397-08002B2CF9AE}" pid="6" name="FeatureTags">
    <vt:lpwstr/>
  </property>
  <property fmtid="{D5CDD505-2E9C-101B-9397-08002B2CF9AE}" pid="7" name="LocalizationTags">
    <vt:lpwstr/>
  </property>
  <property fmtid="{D5CDD505-2E9C-101B-9397-08002B2CF9AE}" pid="8" name="ImageGenStatus">
    <vt:i4>0</vt:i4>
  </property>
  <property fmtid="{D5CDD505-2E9C-101B-9397-08002B2CF9AE}" pid="9" name="CategoryTags">
    <vt:lpwstr/>
  </property>
  <property fmtid="{D5CDD505-2E9C-101B-9397-08002B2CF9AE}" pid="10" name="Applications">
    <vt:lpwstr/>
  </property>
  <property fmtid="{D5CDD505-2E9C-101B-9397-08002B2CF9AE}" pid="11" name="CampaignTags">
    <vt:lpwstr/>
  </property>
  <property fmtid="{D5CDD505-2E9C-101B-9397-08002B2CF9AE}" pid="12" name="ScenarioTags">
    <vt:lpwstr/>
  </property>
</Properties>
</file>